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TEXTE\Fax-Mailing-AK\2022\"/>
    </mc:Choice>
  </mc:AlternateContent>
  <xr:revisionPtr revIDLastSave="0" documentId="8_{17F341A9-1B07-4258-A0C0-D8DEBDA5C709}" xr6:coauthVersionLast="47" xr6:coauthVersionMax="47" xr10:uidLastSave="{00000000-0000-0000-0000-000000000000}"/>
  <bookViews>
    <workbookView xWindow="-120" yWindow="-120" windowWidth="29040" windowHeight="15840" tabRatio="528" xr2:uid="{00000000-000D-0000-FFFF-FFFF00000000}"/>
  </bookViews>
  <sheets>
    <sheet name="ANLEITUNG" sheetId="4" r:id="rId1"/>
    <sheet name="Datenerfassung" sheetId="1" r:id="rId2"/>
    <sheet name="Beleg 1" sheetId="3" r:id="rId3"/>
    <sheet name="Beleg 2" sheetId="5" r:id="rId4"/>
    <sheet name="Beleg 3" sheetId="9" r:id="rId5"/>
    <sheet name="Beleg 4" sheetId="10" r:id="rId6"/>
    <sheet name="Beleg 5" sheetId="11" r:id="rId7"/>
  </sheets>
  <definedNames>
    <definedName name="_xlnm.Print_Area" localSheetId="2">'Beleg 1'!$E$1:$I$11</definedName>
    <definedName name="_xlnm.Print_Area" localSheetId="3">'Beleg 2'!$E$1:$I$11</definedName>
    <definedName name="_xlnm.Print_Area" localSheetId="4">'Beleg 3'!$E$1:$I$11</definedName>
    <definedName name="_xlnm.Print_Area" localSheetId="5">'Beleg 4'!$E$1:$I$11</definedName>
    <definedName name="_xlnm.Print_Area" localSheetId="6">'Beleg 5'!$E$1:$I$11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8" i="1" l="1"/>
  <c r="T48" i="1" s="1"/>
  <c r="S40" i="1"/>
  <c r="S39" i="1"/>
  <c r="S38" i="1"/>
  <c r="T38" i="1" s="1"/>
  <c r="T39" i="1" s="1"/>
  <c r="T40" i="1" s="1"/>
  <c r="S33" i="1"/>
  <c r="S29" i="1"/>
  <c r="S28" i="1"/>
  <c r="T28" i="1" s="1"/>
  <c r="T29" i="1" s="1"/>
  <c r="S23" i="1"/>
  <c r="S22" i="1"/>
  <c r="S18" i="1"/>
  <c r="T18" i="1" s="1"/>
  <c r="S12" i="1"/>
  <c r="S13" i="1"/>
  <c r="S11" i="1"/>
  <c r="S8" i="1"/>
  <c r="T8" i="1" s="1"/>
  <c r="T49" i="1" l="1"/>
  <c r="S49" i="1"/>
  <c r="T41" i="1"/>
  <c r="S41" i="1"/>
  <c r="T30" i="1"/>
  <c r="S30" i="1"/>
  <c r="T19" i="1"/>
  <c r="S19" i="1"/>
  <c r="T9" i="1"/>
  <c r="S9" i="1"/>
  <c r="S50" i="1" l="1"/>
  <c r="T50" i="1"/>
  <c r="T42" i="1"/>
  <c r="S42" i="1"/>
  <c r="T31" i="1"/>
  <c r="S31" i="1"/>
  <c r="S20" i="1"/>
  <c r="T20" i="1"/>
  <c r="T10" i="1"/>
  <c r="T11" i="1" s="1"/>
  <c r="T12" i="1" s="1"/>
  <c r="T13" i="1" s="1"/>
  <c r="S10" i="1"/>
  <c r="T51" i="1" l="1"/>
  <c r="S51" i="1"/>
  <c r="T43" i="1"/>
  <c r="S43" i="1"/>
  <c r="T32" i="1"/>
  <c r="T33" i="1" s="1"/>
  <c r="S32" i="1"/>
  <c r="T21" i="1"/>
  <c r="T22" i="1" s="1"/>
  <c r="T23" i="1" s="1"/>
  <c r="S21" i="1"/>
  <c r="T52" i="1" l="1"/>
  <c r="S52" i="1"/>
  <c r="T53" i="1" l="1"/>
  <c r="S53" i="1"/>
  <c r="J21" i="1" l="1"/>
  <c r="X11" i="1"/>
  <c r="X10" i="1"/>
  <c r="X9" i="1"/>
  <c r="X8" i="1"/>
  <c r="X23" i="1"/>
  <c r="X22" i="1"/>
  <c r="X21" i="1"/>
  <c r="X20" i="1"/>
  <c r="X19" i="1"/>
  <c r="X18" i="1"/>
  <c r="X33" i="1"/>
  <c r="X32" i="1"/>
  <c r="X31" i="1"/>
  <c r="X30" i="1"/>
  <c r="X29" i="1"/>
  <c r="X28" i="1"/>
  <c r="X43" i="1"/>
  <c r="X42" i="1"/>
  <c r="X41" i="1"/>
  <c r="X40" i="1"/>
  <c r="X39" i="1"/>
  <c r="X38" i="1"/>
  <c r="X48" i="1"/>
  <c r="X49" i="1"/>
  <c r="X50" i="1"/>
  <c r="X52" i="1"/>
  <c r="X53" i="1"/>
  <c r="V53" i="1"/>
  <c r="U53" i="1"/>
  <c r="V52" i="1"/>
  <c r="U52" i="1"/>
  <c r="V51" i="1"/>
  <c r="U51" i="1"/>
  <c r="V50" i="1"/>
  <c r="U50" i="1"/>
  <c r="V49" i="1"/>
  <c r="U49" i="1"/>
  <c r="V48" i="1"/>
  <c r="U48" i="1"/>
  <c r="V42" i="1"/>
  <c r="U42" i="1"/>
  <c r="V41" i="1"/>
  <c r="U41" i="1"/>
  <c r="U39" i="1"/>
  <c r="V33" i="1"/>
  <c r="V29" i="1"/>
  <c r="U28" i="1"/>
  <c r="U18" i="1"/>
  <c r="V43" i="1"/>
  <c r="V40" i="1"/>
  <c r="V39" i="1"/>
  <c r="U33" i="1"/>
  <c r="V32" i="1"/>
  <c r="U31" i="1"/>
  <c r="V30" i="1"/>
  <c r="U29" i="1"/>
  <c r="V23" i="1"/>
  <c r="U22" i="1"/>
  <c r="V21" i="1"/>
  <c r="U20" i="1"/>
  <c r="V19" i="1"/>
  <c r="V18" i="1"/>
  <c r="U9" i="1"/>
  <c r="U10" i="1"/>
  <c r="U11" i="1"/>
  <c r="U12" i="1"/>
  <c r="U13" i="1"/>
  <c r="J9" i="1"/>
  <c r="K9" i="1" s="1"/>
  <c r="J10" i="1"/>
  <c r="R10" i="1" s="1"/>
  <c r="J11" i="1"/>
  <c r="K11" i="1" s="1"/>
  <c r="J12" i="1"/>
  <c r="Q12" i="1" s="1"/>
  <c r="J13" i="1"/>
  <c r="K13" i="1" s="1"/>
  <c r="J8" i="1"/>
  <c r="R8" i="1" s="1"/>
  <c r="D49" i="1"/>
  <c r="D50" i="1"/>
  <c r="D51" i="1"/>
  <c r="D52" i="1"/>
  <c r="D53" i="1"/>
  <c r="D39" i="1"/>
  <c r="D40" i="1"/>
  <c r="D41" i="1"/>
  <c r="D42" i="1"/>
  <c r="D43" i="1"/>
  <c r="D30" i="1"/>
  <c r="D31" i="1"/>
  <c r="D32" i="1"/>
  <c r="D33" i="1"/>
  <c r="D21" i="1"/>
  <c r="D22" i="1"/>
  <c r="D12" i="1"/>
  <c r="D13" i="1"/>
  <c r="D48" i="1"/>
  <c r="D38" i="1"/>
  <c r="D29" i="1"/>
  <c r="D28" i="1"/>
  <c r="D23" i="1"/>
  <c r="D20" i="1"/>
  <c r="D19" i="1"/>
  <c r="D18" i="1"/>
  <c r="D9" i="1"/>
  <c r="D10" i="1"/>
  <c r="D11" i="1"/>
  <c r="C54" i="1"/>
  <c r="D8" i="1"/>
  <c r="I1" i="11"/>
  <c r="I1" i="10"/>
  <c r="I1" i="9"/>
  <c r="I1" i="5"/>
  <c r="I1" i="3"/>
  <c r="C14" i="1"/>
  <c r="C24" i="1"/>
  <c r="C34" i="1"/>
  <c r="C44" i="1"/>
  <c r="X6" i="1"/>
  <c r="K10" i="1" l="1"/>
  <c r="M10" i="1"/>
  <c r="L10" i="1"/>
  <c r="J18" i="1"/>
  <c r="R18" i="1" s="1"/>
  <c r="J28" i="1"/>
  <c r="J20" i="1"/>
  <c r="L20" i="1" s="1"/>
  <c r="J33" i="1"/>
  <c r="L33" i="1" s="1"/>
  <c r="K12" i="1"/>
  <c r="R21" i="1"/>
  <c r="M21" i="1"/>
  <c r="J23" i="1"/>
  <c r="K23" i="1" s="1"/>
  <c r="J19" i="1"/>
  <c r="J22" i="1"/>
  <c r="F22" i="1" s="1"/>
  <c r="W22" i="1" s="1"/>
  <c r="R12" i="1"/>
  <c r="M12" i="1"/>
  <c r="L12" i="1"/>
  <c r="R13" i="1"/>
  <c r="R11" i="1"/>
  <c r="R9" i="1"/>
  <c r="U43" i="1"/>
  <c r="U40" i="1"/>
  <c r="U38" i="1"/>
  <c r="V38" i="1"/>
  <c r="V20" i="1"/>
  <c r="U32" i="1"/>
  <c r="V31" i="1"/>
  <c r="U30" i="1"/>
  <c r="V28" i="1"/>
  <c r="U23" i="1"/>
  <c r="V22" i="1"/>
  <c r="U21" i="1"/>
  <c r="U19" i="1"/>
  <c r="V13" i="1"/>
  <c r="V12" i="1"/>
  <c r="V11" i="1"/>
  <c r="V10" i="1"/>
  <c r="V9" i="1"/>
  <c r="K21" i="1"/>
  <c r="M22" i="1"/>
  <c r="L21" i="1"/>
  <c r="L23" i="1"/>
  <c r="M13" i="1"/>
  <c r="L13" i="1"/>
  <c r="L11" i="1"/>
  <c r="L9" i="1"/>
  <c r="M11" i="1"/>
  <c r="M9" i="1"/>
  <c r="Q23" i="1"/>
  <c r="Q11" i="1"/>
  <c r="X16" i="1"/>
  <c r="Q21" i="1"/>
  <c r="Q13" i="1"/>
  <c r="Q10" i="1"/>
  <c r="Q9" i="1"/>
  <c r="Q8" i="1"/>
  <c r="Q18" i="1" l="1"/>
  <c r="R20" i="1"/>
  <c r="L28" i="1"/>
  <c r="R28" i="1"/>
  <c r="Q20" i="1"/>
  <c r="M20" i="1"/>
  <c r="K33" i="1"/>
  <c r="R22" i="1"/>
  <c r="K28" i="1"/>
  <c r="M28" i="1"/>
  <c r="L22" i="1"/>
  <c r="K20" i="1"/>
  <c r="J32" i="1"/>
  <c r="J31" i="1"/>
  <c r="J29" i="1"/>
  <c r="M29" i="1" s="1"/>
  <c r="J30" i="1"/>
  <c r="L18" i="1"/>
  <c r="M18" i="1"/>
  <c r="K18" i="1"/>
  <c r="J42" i="1"/>
  <c r="M33" i="1"/>
  <c r="R33" i="1"/>
  <c r="M19" i="1"/>
  <c r="R19" i="1"/>
  <c r="R23" i="1"/>
  <c r="M23" i="1"/>
  <c r="Q19" i="1"/>
  <c r="L19" i="1"/>
  <c r="K19" i="1"/>
  <c r="Q22" i="1"/>
  <c r="K22" i="1"/>
  <c r="Q28" i="1"/>
  <c r="Q29" i="1"/>
  <c r="Q33" i="1"/>
  <c r="X26" i="1"/>
  <c r="M8" i="1"/>
  <c r="L8" i="1"/>
  <c r="K8" i="1"/>
  <c r="E8" i="1"/>
  <c r="J40" i="1" l="1"/>
  <c r="L40" i="1" s="1"/>
  <c r="J39" i="1"/>
  <c r="R39" i="1" s="1"/>
  <c r="J41" i="1"/>
  <c r="L41" i="1" s="1"/>
  <c r="M40" i="1"/>
  <c r="R29" i="1"/>
  <c r="J38" i="1"/>
  <c r="J43" i="1"/>
  <c r="Q43" i="1" s="1"/>
  <c r="R40" i="1"/>
  <c r="L32" i="1"/>
  <c r="R32" i="1"/>
  <c r="M32" i="1"/>
  <c r="K32" i="1"/>
  <c r="Q32" i="1"/>
  <c r="R31" i="1"/>
  <c r="K31" i="1"/>
  <c r="L31" i="1"/>
  <c r="M31" i="1"/>
  <c r="K30" i="1"/>
  <c r="L30" i="1"/>
  <c r="M30" i="1"/>
  <c r="R30" i="1"/>
  <c r="Q30" i="1"/>
  <c r="Q31" i="1"/>
  <c r="L29" i="1"/>
  <c r="K29" i="1"/>
  <c r="R41" i="1"/>
  <c r="M41" i="1"/>
  <c r="K41" i="1"/>
  <c r="J52" i="1"/>
  <c r="J51" i="1"/>
  <c r="J49" i="1"/>
  <c r="J53" i="1"/>
  <c r="J50" i="1"/>
  <c r="J48" i="1"/>
  <c r="K42" i="1"/>
  <c r="L42" i="1"/>
  <c r="Q42" i="1"/>
  <c r="M42" i="1"/>
  <c r="R42" i="1"/>
  <c r="L39" i="1"/>
  <c r="M39" i="1"/>
  <c r="K39" i="1"/>
  <c r="X36" i="1"/>
  <c r="Q41" i="1"/>
  <c r="Q40" i="1"/>
  <c r="Q39" i="1"/>
  <c r="Q38" i="1"/>
  <c r="F11" i="11"/>
  <c r="F11" i="10"/>
  <c r="F11" i="9"/>
  <c r="F11" i="5"/>
  <c r="K40" i="1" l="1"/>
  <c r="L43" i="1"/>
  <c r="K43" i="1"/>
  <c r="M43" i="1"/>
  <c r="R43" i="1"/>
  <c r="K38" i="1"/>
  <c r="M38" i="1"/>
  <c r="L38" i="1"/>
  <c r="R38" i="1"/>
  <c r="M53" i="1"/>
  <c r="R53" i="1"/>
  <c r="L53" i="1"/>
  <c r="K53" i="1"/>
  <c r="R49" i="1"/>
  <c r="M49" i="1"/>
  <c r="K49" i="1"/>
  <c r="L49" i="1"/>
  <c r="K48" i="1"/>
  <c r="R48" i="1"/>
  <c r="M48" i="1"/>
  <c r="L48" i="1"/>
  <c r="R51" i="1"/>
  <c r="M51" i="1"/>
  <c r="L51" i="1"/>
  <c r="K51" i="1"/>
  <c r="K50" i="1"/>
  <c r="R50" i="1"/>
  <c r="L50" i="1"/>
  <c r="M50" i="1"/>
  <c r="F52" i="1"/>
  <c r="W52" i="1" s="1"/>
  <c r="K52" i="1"/>
  <c r="M52" i="1"/>
  <c r="L52" i="1"/>
  <c r="Q52" i="1"/>
  <c r="R52" i="1"/>
  <c r="Q53" i="1"/>
  <c r="X46" i="1"/>
  <c r="Q51" i="1"/>
  <c r="Q48" i="1"/>
  <c r="Q50" i="1"/>
  <c r="Q49" i="1"/>
  <c r="F11" i="3" l="1"/>
  <c r="E11" i="5"/>
  <c r="E11" i="3"/>
  <c r="E11" i="11" l="1"/>
  <c r="E11" i="9"/>
  <c r="E11" i="10" l="1"/>
  <c r="E9" i="1" l="1"/>
  <c r="G8" i="1"/>
  <c r="N8" i="1" s="1"/>
  <c r="U8" i="1"/>
  <c r="B6" i="3" s="1"/>
  <c r="V8" i="1"/>
  <c r="H8" i="1"/>
  <c r="O8" i="1" s="1"/>
  <c r="I8" i="1"/>
  <c r="P8" i="1" s="1"/>
  <c r="X12" i="1" l="1"/>
  <c r="G9" i="1"/>
  <c r="N9" i="1" s="1"/>
  <c r="H9" i="1"/>
  <c r="O9" i="1" s="1"/>
  <c r="I9" i="1"/>
  <c r="P9" i="1" s="1"/>
  <c r="E10" i="1"/>
  <c r="F8" i="1"/>
  <c r="X13" i="1" l="1"/>
  <c r="F12" i="1"/>
  <c r="W12" i="1" s="1"/>
  <c r="E11" i="1"/>
  <c r="G10" i="1"/>
  <c r="N10" i="1" s="1"/>
  <c r="H10" i="1"/>
  <c r="O10" i="1" s="1"/>
  <c r="I10" i="1"/>
  <c r="P10" i="1" s="1"/>
  <c r="E12" i="1"/>
  <c r="F29" i="1"/>
  <c r="W29" i="1" s="1"/>
  <c r="F39" i="1"/>
  <c r="W39" i="1" s="1"/>
  <c r="W8" i="1"/>
  <c r="G12" i="1" l="1"/>
  <c r="N12" i="1" s="1"/>
  <c r="H12" i="1"/>
  <c r="O12" i="1" s="1"/>
  <c r="I12" i="1"/>
  <c r="P12" i="1" s="1"/>
  <c r="E13" i="1"/>
  <c r="E18" i="1" s="1"/>
  <c r="H11" i="1"/>
  <c r="O11" i="1" s="1"/>
  <c r="I11" i="1"/>
  <c r="P11" i="1" s="1"/>
  <c r="G11" i="1"/>
  <c r="N11" i="1" s="1"/>
  <c r="F9" i="1"/>
  <c r="W9" i="1" s="1"/>
  <c r="F10" i="1"/>
  <c r="W10" i="1" s="1"/>
  <c r="F53" i="1"/>
  <c r="W53" i="1" s="1"/>
  <c r="X51" i="1"/>
  <c r="F51" i="1" s="1"/>
  <c r="W51" i="1" s="1"/>
  <c r="F40" i="1"/>
  <c r="W40" i="1" s="1"/>
  <c r="F23" i="1"/>
  <c r="W23" i="1" s="1"/>
  <c r="F11" i="1"/>
  <c r="W11" i="1" s="1"/>
  <c r="B6" i="11"/>
  <c r="G6" i="11" s="1"/>
  <c r="C6" i="11"/>
  <c r="C7" i="11"/>
  <c r="H7" i="11" s="1"/>
  <c r="B7" i="10"/>
  <c r="G7" i="10" s="1"/>
  <c r="B6" i="10"/>
  <c r="G6" i="10" s="1"/>
  <c r="C6" i="10"/>
  <c r="H6" i="10" s="1"/>
  <c r="C8" i="10"/>
  <c r="H8" i="10" s="1"/>
  <c r="C6" i="9"/>
  <c r="B6" i="9"/>
  <c r="B8" i="5"/>
  <c r="C6" i="5"/>
  <c r="B6" i="5"/>
  <c r="C8" i="11"/>
  <c r="H8" i="11" s="1"/>
  <c r="B8" i="11"/>
  <c r="G8" i="11" s="1"/>
  <c r="B8" i="10"/>
  <c r="G8" i="10" s="1"/>
  <c r="B8" i="9"/>
  <c r="C8" i="9"/>
  <c r="H8" i="9" s="1"/>
  <c r="C8" i="5"/>
  <c r="B7" i="11"/>
  <c r="G7" i="11" s="1"/>
  <c r="C7" i="9"/>
  <c r="C7" i="5"/>
  <c r="B7" i="5"/>
  <c r="G7" i="5" s="1"/>
  <c r="I18" i="1" l="1"/>
  <c r="P18" i="1" s="1"/>
  <c r="H18" i="1"/>
  <c r="O18" i="1" s="1"/>
  <c r="G18" i="1"/>
  <c r="N18" i="1" s="1"/>
  <c r="I13" i="1"/>
  <c r="P13" i="1" s="1"/>
  <c r="G13" i="1"/>
  <c r="N13" i="1" s="1"/>
  <c r="H13" i="1"/>
  <c r="O13" i="1" s="1"/>
  <c r="E19" i="1"/>
  <c r="F33" i="1"/>
  <c r="W33" i="1" s="1"/>
  <c r="C7" i="10"/>
  <c r="H7" i="10" s="1"/>
  <c r="B7" i="9"/>
  <c r="G7" i="9" s="1"/>
  <c r="F13" i="1"/>
  <c r="W13" i="1" s="1"/>
  <c r="H7" i="9"/>
  <c r="H6" i="11"/>
  <c r="G6" i="5"/>
  <c r="H6" i="5"/>
  <c r="H7" i="5"/>
  <c r="H8" i="5"/>
  <c r="G8" i="5"/>
  <c r="G6" i="9"/>
  <c r="H6" i="9"/>
  <c r="G8" i="9"/>
  <c r="G6" i="3"/>
  <c r="I19" i="1" l="1"/>
  <c r="P19" i="1" s="1"/>
  <c r="H19" i="1"/>
  <c r="O19" i="1" s="1"/>
  <c r="G19" i="1"/>
  <c r="N19" i="1" s="1"/>
  <c r="E20" i="1"/>
  <c r="F18" i="1"/>
  <c r="W18" i="1" s="1"/>
  <c r="F14" i="1"/>
  <c r="D6" i="3"/>
  <c r="I6" i="3" s="1"/>
  <c r="C6" i="3"/>
  <c r="H6" i="3" s="1"/>
  <c r="B7" i="3"/>
  <c r="G7" i="3" s="1"/>
  <c r="C7" i="3"/>
  <c r="H7" i="3" s="1"/>
  <c r="C8" i="3"/>
  <c r="H8" i="3" s="1"/>
  <c r="B8" i="3"/>
  <c r="G8" i="3" s="1"/>
  <c r="F19" i="1" l="1"/>
  <c r="W19" i="1" s="1"/>
  <c r="D6" i="5"/>
  <c r="E21" i="1"/>
  <c r="H20" i="1"/>
  <c r="O20" i="1" s="1"/>
  <c r="G20" i="1"/>
  <c r="N20" i="1" s="1"/>
  <c r="I20" i="1"/>
  <c r="P20" i="1" s="1"/>
  <c r="D8" i="3"/>
  <c r="I8" i="3" s="1"/>
  <c r="D7" i="3"/>
  <c r="I7" i="3" s="1"/>
  <c r="F20" i="1" l="1"/>
  <c r="W20" i="1" s="1"/>
  <c r="E22" i="1"/>
  <c r="G21" i="1"/>
  <c r="N21" i="1" s="1"/>
  <c r="I21" i="1"/>
  <c r="P21" i="1" s="1"/>
  <c r="H21" i="1"/>
  <c r="O21" i="1" s="1"/>
  <c r="H3" i="3"/>
  <c r="F21" i="1" l="1"/>
  <c r="W21" i="1" s="1"/>
  <c r="D8" i="5" s="1"/>
  <c r="E23" i="1"/>
  <c r="I22" i="1"/>
  <c r="P22" i="1" s="1"/>
  <c r="H22" i="1"/>
  <c r="O22" i="1" s="1"/>
  <c r="G22" i="1"/>
  <c r="N22" i="1" s="1"/>
  <c r="F28" i="1"/>
  <c r="W28" i="1" s="1"/>
  <c r="F24" i="1" l="1"/>
  <c r="I23" i="1"/>
  <c r="P23" i="1" s="1"/>
  <c r="H23" i="1"/>
  <c r="O23" i="1" s="1"/>
  <c r="G23" i="1"/>
  <c r="N23" i="1" s="1"/>
  <c r="E28" i="1"/>
  <c r="I6" i="5"/>
  <c r="D7" i="5"/>
  <c r="I7" i="5" s="1"/>
  <c r="I8" i="5"/>
  <c r="I28" i="1" l="1"/>
  <c r="P28" i="1" s="1"/>
  <c r="H28" i="1"/>
  <c r="O28" i="1" s="1"/>
  <c r="G28" i="1"/>
  <c r="N28" i="1" s="1"/>
  <c r="E29" i="1"/>
  <c r="H3" i="5"/>
  <c r="I29" i="1" l="1"/>
  <c r="P29" i="1" s="1"/>
  <c r="H29" i="1"/>
  <c r="O29" i="1" s="1"/>
  <c r="G29" i="1"/>
  <c r="N29" i="1" s="1"/>
  <c r="E30" i="1"/>
  <c r="E31" i="1" l="1"/>
  <c r="H30" i="1"/>
  <c r="O30" i="1" s="1"/>
  <c r="G30" i="1"/>
  <c r="N30" i="1" s="1"/>
  <c r="I30" i="1"/>
  <c r="P30" i="1" s="1"/>
  <c r="F38" i="1"/>
  <c r="W38" i="1" s="1"/>
  <c r="F30" i="1" l="1"/>
  <c r="W30" i="1" s="1"/>
  <c r="D6" i="9" s="1"/>
  <c r="I6" i="9" s="1"/>
  <c r="E32" i="1"/>
  <c r="H31" i="1"/>
  <c r="O31" i="1" s="1"/>
  <c r="G31" i="1"/>
  <c r="N31" i="1" s="1"/>
  <c r="I31" i="1"/>
  <c r="P31" i="1" s="1"/>
  <c r="F31" i="1" l="1"/>
  <c r="W31" i="1" s="1"/>
  <c r="D7" i="9" s="1"/>
  <c r="I7" i="9" s="1"/>
  <c r="G32" i="1"/>
  <c r="N32" i="1" s="1"/>
  <c r="E33" i="1"/>
  <c r="I32" i="1"/>
  <c r="P32" i="1" s="1"/>
  <c r="H32" i="1"/>
  <c r="O32" i="1" s="1"/>
  <c r="F32" i="1" s="1"/>
  <c r="W32" i="1" s="1"/>
  <c r="D8" i="9" s="1"/>
  <c r="I8" i="9" s="1"/>
  <c r="H3" i="9" l="1"/>
  <c r="F34" i="1"/>
  <c r="G33" i="1"/>
  <c r="N33" i="1" s="1"/>
  <c r="I33" i="1"/>
  <c r="P33" i="1" s="1"/>
  <c r="H33" i="1"/>
  <c r="O33" i="1" s="1"/>
  <c r="E38" i="1"/>
  <c r="I38" i="1" l="1"/>
  <c r="P38" i="1" s="1"/>
  <c r="H38" i="1"/>
  <c r="O38" i="1" s="1"/>
  <c r="G38" i="1"/>
  <c r="N38" i="1" s="1"/>
  <c r="E39" i="1"/>
  <c r="I39" i="1" l="1"/>
  <c r="P39" i="1" s="1"/>
  <c r="E40" i="1"/>
  <c r="H39" i="1"/>
  <c r="O39" i="1" s="1"/>
  <c r="G39" i="1"/>
  <c r="N39" i="1" s="1"/>
  <c r="H40" i="1" l="1"/>
  <c r="O40" i="1" s="1"/>
  <c r="G40" i="1"/>
  <c r="N40" i="1" s="1"/>
  <c r="E41" i="1"/>
  <c r="I40" i="1"/>
  <c r="P40" i="1" s="1"/>
  <c r="G41" i="1" l="1"/>
  <c r="N41" i="1" s="1"/>
  <c r="I41" i="1"/>
  <c r="P41" i="1" s="1"/>
  <c r="E42" i="1"/>
  <c r="H41" i="1"/>
  <c r="O41" i="1" s="1"/>
  <c r="F41" i="1" l="1"/>
  <c r="W41" i="1" s="1"/>
  <c r="D6" i="10" s="1"/>
  <c r="I6" i="10" s="1"/>
  <c r="H42" i="1"/>
  <c r="O42" i="1" s="1"/>
  <c r="G42" i="1"/>
  <c r="N42" i="1" s="1"/>
  <c r="I42" i="1"/>
  <c r="P42" i="1" s="1"/>
  <c r="E43" i="1"/>
  <c r="F42" i="1" l="1"/>
  <c r="W42" i="1" s="1"/>
  <c r="D7" i="10" s="1"/>
  <c r="I7" i="10" s="1"/>
  <c r="G43" i="1"/>
  <c r="N43" i="1" s="1"/>
  <c r="I43" i="1"/>
  <c r="P43" i="1" s="1"/>
  <c r="H43" i="1"/>
  <c r="O43" i="1" s="1"/>
  <c r="E48" i="1"/>
  <c r="F43" i="1" l="1"/>
  <c r="I48" i="1"/>
  <c r="P48" i="1" s="1"/>
  <c r="H48" i="1"/>
  <c r="O48" i="1" s="1"/>
  <c r="G48" i="1"/>
  <c r="N48" i="1" s="1"/>
  <c r="E49" i="1"/>
  <c r="F48" i="1" l="1"/>
  <c r="W43" i="1"/>
  <c r="D8" i="10" s="1"/>
  <c r="I8" i="10" s="1"/>
  <c r="H3" i="10" s="1"/>
  <c r="F44" i="1"/>
  <c r="H49" i="1"/>
  <c r="O49" i="1" s="1"/>
  <c r="G49" i="1"/>
  <c r="N49" i="1" s="1"/>
  <c r="I49" i="1"/>
  <c r="P49" i="1" s="1"/>
  <c r="E50" i="1"/>
  <c r="F49" i="1" l="1"/>
  <c r="W49" i="1" s="1"/>
  <c r="D7" i="11" s="1"/>
  <c r="I7" i="11" s="1"/>
  <c r="W48" i="1"/>
  <c r="D6" i="11" s="1"/>
  <c r="I6" i="11" s="1"/>
  <c r="G50" i="1"/>
  <c r="N50" i="1" s="1"/>
  <c r="I50" i="1"/>
  <c r="P50" i="1" s="1"/>
  <c r="H50" i="1"/>
  <c r="O50" i="1" s="1"/>
  <c r="E51" i="1"/>
  <c r="F50" i="1" l="1"/>
  <c r="W50" i="1" s="1"/>
  <c r="D8" i="11" s="1"/>
  <c r="I8" i="11" s="1"/>
  <c r="H3" i="11" s="1"/>
  <c r="E52" i="1"/>
  <c r="I51" i="1"/>
  <c r="P51" i="1" s="1"/>
  <c r="H51" i="1"/>
  <c r="O51" i="1" s="1"/>
  <c r="G51" i="1"/>
  <c r="N51" i="1" s="1"/>
  <c r="F54" i="1" l="1"/>
  <c r="I52" i="1"/>
  <c r="P52" i="1" s="1"/>
  <c r="H52" i="1"/>
  <c r="O52" i="1" s="1"/>
  <c r="G52" i="1"/>
  <c r="N52" i="1" s="1"/>
  <c r="E53" i="1"/>
  <c r="I53" i="1" l="1"/>
  <c r="H53" i="1"/>
  <c r="G53" i="1"/>
  <c r="H56" i="1" l="1"/>
  <c r="O53" i="1"/>
  <c r="O56" i="1" s="1"/>
  <c r="G56" i="1"/>
  <c r="N53" i="1"/>
  <c r="N56" i="1" s="1"/>
  <c r="I56" i="1"/>
  <c r="P53" i="1"/>
  <c r="P56" i="1" s="1"/>
</calcChain>
</file>

<file path=xl/sharedStrings.xml><?xml version="1.0" encoding="utf-8"?>
<sst xmlns="http://schemas.openxmlformats.org/spreadsheetml/2006/main" count="164" uniqueCount="60">
  <si>
    <t>PZN</t>
  </si>
  <si>
    <t>Faktor</t>
  </si>
  <si>
    <t>Preis</t>
  </si>
  <si>
    <t>VAXZEVRIA COVID-19-Impfstoff AstraZeneca BUND</t>
  </si>
  <si>
    <t>COMIRNATY Konz.z.Her.e.Inj.-Disp. BioNTech BUND</t>
  </si>
  <si>
    <t>COVID-19 Vaccine Janssen Injektionssuspension BUND</t>
  </si>
  <si>
    <t>Produkt</t>
  </si>
  <si>
    <t>Summe</t>
  </si>
  <si>
    <t>Apotheken-IK</t>
  </si>
  <si>
    <t>Apothekenname</t>
  </si>
  <si>
    <t>Arzt</t>
  </si>
  <si>
    <t>101 - 150 Stk</t>
  </si>
  <si>
    <t>&gt; 150 Stk</t>
  </si>
  <si>
    <t>Position</t>
  </si>
  <si>
    <t>max. Position</t>
  </si>
  <si>
    <t>POS</t>
  </si>
  <si>
    <t>Taxe</t>
  </si>
  <si>
    <t>Abgabedatum</t>
  </si>
  <si>
    <t>Impfbesteck</t>
  </si>
  <si>
    <t>Großhandel</t>
  </si>
  <si>
    <t>Vergütungsminderung Großhandel ab</t>
  </si>
  <si>
    <t>Vials</t>
  </si>
  <si>
    <t>Gesamtpreis (Brutto)</t>
  </si>
  <si>
    <t>Beleg 1</t>
  </si>
  <si>
    <t>Beleg 2</t>
  </si>
  <si>
    <t>Beleg 3</t>
  </si>
  <si>
    <t>Beleg 4</t>
  </si>
  <si>
    <t>Beleg 5</t>
  </si>
  <si>
    <t>&lt;= 100 Stk</t>
  </si>
  <si>
    <t>1.</t>
  </si>
  <si>
    <t>2.</t>
  </si>
  <si>
    <t>Prozess</t>
  </si>
  <si>
    <t>Ø</t>
  </si>
  <si>
    <t>3.</t>
  </si>
  <si>
    <t>Ausfüllen der Tabelle</t>
  </si>
  <si>
    <t>Der Faktor ist dabei jeweils die Anzahl der abgegebenen Vials.</t>
  </si>
  <si>
    <t>Die Apotheke trägt in die EXCEL-Datei ihr IK und ihren Apothekennamen in das Tabellenblatt "Datenerfassung" ein und speichert die Datei als Apotheken-Vorlage ab.</t>
  </si>
  <si>
    <t>Ausgefüllt werden ausschließlich die weißen Felder im Reiter "Datenerfassung" (Abgabedatum und Faktor). Alle anderen Felder sind für die Erfassung gesperrt.</t>
  </si>
  <si>
    <t>Unter den Reitern "Beleg 1" bis "Beleg 5" finden sich die Druckvorlagen für den Apothekenteil der bis zu 5 Impfstoffbelege für diesen Monat, die auf das jeweilige (Muster-16) Formular gedruckt werden müssen.</t>
  </si>
  <si>
    <t>Vergütungsanpassung Apotheke ab</t>
  </si>
  <si>
    <t>Einzelpreis (Netto)</t>
  </si>
  <si>
    <t>Netto</t>
  </si>
  <si>
    <t>Erstes mögliches Datum</t>
  </si>
  <si>
    <t>gerundet</t>
  </si>
  <si>
    <t>kumuliert</t>
  </si>
  <si>
    <t>Es wird ein Verzeichnis "Vorlagen" angelegt. Je Arzt wird eine Kopie der Dateivorlage eingestellt und mit dem Namen des Arztes oder mit dessen Fortbildungsnummer benannt. Der Name und/oder die Fortbildungsnummer des Arztes wird in die neue Dateivorlage in das Tabellenblatt "Datenerfassung" eingetragen. Somit ist am Ende im Vorlagenverzeichnis für jeden bekannten Arzt eine Vorlage vorhanden.</t>
  </si>
  <si>
    <t xml:space="preserve">Wird ein neuer Arzt beliefert, wird zunächst eine neue Vorlage im Vorlagenverzeichnis angelegt und danach ins entsprechende Monatsverzeichnis kopiert. </t>
  </si>
  <si>
    <t>Es müssen alle Impfstoffbelege, für die in einem Monat an einen Arzt Impfstoffe abgegeben wurden, in einer Tabelle unter dem Reiter „Datenerfassung“ erfasst werden. Nur so kann die Preisstaffel korrekt berechnet werden.</t>
  </si>
  <si>
    <t>EXCEL-Tabelle erstellt werden.</t>
  </si>
  <si>
    <t>Für den ersten belieferten Impfstoffbeleg werden die Faktorfelder unter der Überschrift „Beleg 1“ ausgefüllt, für den zweiten belieferten Impfstoffbeleg werden die Faktorfelder unter der Überschrift „Beleg 2“ ausgefüllt, für das dritte die unter Impfstoffbeleg 3 usw.</t>
  </si>
  <si>
    <t>Änderung Impfbesteck</t>
  </si>
  <si>
    <t>SPIKEVAX COVID-19-Impfstoff Moderna BUND</t>
  </si>
  <si>
    <t>"Impfstoffvergütung Betriebsärzte, Ärzte des Öffentlichen Gesundheitsdienstes/</t>
  </si>
  <si>
    <t>der Impfzentren/der mobilen Impfteams (ÖGD), Ärzte in Krankenhäusern"</t>
  </si>
  <si>
    <r>
      <rPr>
        <b/>
        <u/>
        <sz val="11"/>
        <color theme="1"/>
        <rFont val="Calibri"/>
        <family val="2"/>
        <scheme val="minor"/>
      </rPr>
      <t>WICHTIG:</t>
    </r>
    <r>
      <rPr>
        <sz val="11"/>
        <color theme="1"/>
        <rFont val="Calibri"/>
        <family val="2"/>
        <scheme val="minor"/>
      </rPr>
      <t xml:space="preserve"> Es muss je Betriebsarzt, Arzt des ÖGD, Krankenhausarzt (im Folgenden nur "Arzt" genannt) und Monat eine </t>
    </r>
  </si>
  <si>
    <t>COMIRNATY 10 µg BioNTECH Kinder 5-11 Jahre BUND</t>
  </si>
  <si>
    <t>2. Änderung Impfbesteck</t>
  </si>
  <si>
    <t>Nun wird je Monat ein Verzeichnis angelegt (z.B. November_2021). Aus dem Vorlagenverzeichnis wird die entsprechende Arzt-Vorlage in das  Monatsverzeichnis kopiert und ausgefüllt (Abgabedatum und Faktor).</t>
  </si>
  <si>
    <t>Anleitung zur Taxierungshilfe (Version 7)</t>
  </si>
  <si>
    <t>Nuvaxovid NOVAVAX BUND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</si>
</sst>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ourier New"/>
      <family val="3"/>
    </font>
    <font>
      <sz val="10"/>
      <color theme="1"/>
      <name val="Courier New"/>
      <family val="3"/>
    </font>
    <font>
      <b/>
      <sz val="18"/>
      <color theme="1"/>
      <name val="Calibri"/>
      <family val="2"/>
      <scheme val="minor"/>
    </font>
    <font>
      <sz val="11"/>
      <color theme="1"/>
      <name val="Wingdings"/>
      <charset val="2"/>
    </font>
    <font>
      <b/>
      <u/>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0" fillId="2" borderId="0" xfId="0" applyFill="1"/>
    <xf numFmtId="0" fontId="2" fillId="2" borderId="1" xfId="0" applyFont="1" applyFill="1" applyBorder="1"/>
    <xf numFmtId="0" fontId="0" fillId="2" borderId="1" xfId="0" applyFill="1" applyBorder="1"/>
    <xf numFmtId="0" fontId="4" fillId="0" borderId="0" xfId="0" applyFont="1"/>
    <xf numFmtId="0" fontId="4" fillId="0" borderId="0" xfId="0" applyFont="1" applyAlignment="1">
      <alignment vertical="center"/>
    </xf>
    <xf numFmtId="0" fontId="0" fillId="2" borderId="2" xfId="0" applyFont="1" applyFill="1" applyBorder="1" applyAlignment="1">
      <alignment horizontal="right"/>
    </xf>
    <xf numFmtId="0" fontId="0" fillId="2" borderId="0" xfId="0" applyFont="1" applyFill="1"/>
    <xf numFmtId="0" fontId="0" fillId="2" borderId="1" xfId="0" applyFont="1" applyFill="1" applyBorder="1"/>
    <xf numFmtId="0" fontId="0" fillId="0" borderId="0" xfId="0" applyFont="1"/>
    <xf numFmtId="0" fontId="2" fillId="0" borderId="0" xfId="0" applyFont="1"/>
    <xf numFmtId="44" fontId="1" fillId="2" borderId="1" xfId="1" applyFont="1" applyFill="1" applyBorder="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Font="1" applyAlignment="1">
      <alignment vertical="center"/>
    </xf>
    <xf numFmtId="0" fontId="5" fillId="0" borderId="0" xfId="0" applyFont="1" applyFill="1" applyBorder="1" applyAlignment="1">
      <alignment vertical="center"/>
    </xf>
    <xf numFmtId="1" fontId="5" fillId="0" borderId="0" xfId="0" applyNumberFormat="1" applyFont="1" applyAlignment="1">
      <alignment vertical="center"/>
    </xf>
    <xf numFmtId="164" fontId="5" fillId="0" borderId="0" xfId="0" applyNumberFormat="1" applyFont="1"/>
    <xf numFmtId="0" fontId="5" fillId="0" borderId="0" xfId="0" applyFont="1" applyAlignment="1">
      <alignment horizontal="left" vertical="center"/>
    </xf>
    <xf numFmtId="44" fontId="0" fillId="0" borderId="0" xfId="0" applyNumberFormat="1" applyFont="1"/>
    <xf numFmtId="0" fontId="5" fillId="0" borderId="0" xfId="0" applyFont="1" applyAlignment="1">
      <alignment horizontal="center"/>
    </xf>
    <xf numFmtId="0" fontId="7"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4" borderId="0" xfId="0" applyFont="1" applyFill="1"/>
    <xf numFmtId="0" fontId="5" fillId="4" borderId="0" xfId="0" applyFont="1" applyFill="1" applyAlignment="1">
      <alignment vertical="center"/>
    </xf>
    <xf numFmtId="0" fontId="5" fillId="4" borderId="1" xfId="0" applyFont="1" applyFill="1" applyBorder="1" applyAlignment="1">
      <alignment vertical="center"/>
    </xf>
    <xf numFmtId="0" fontId="0" fillId="5" borderId="0" xfId="0" applyFont="1" applyFill="1"/>
    <xf numFmtId="0" fontId="0" fillId="5" borderId="2" xfId="0" applyFont="1" applyFill="1" applyBorder="1" applyAlignment="1">
      <alignment horizontal="right"/>
    </xf>
    <xf numFmtId="0" fontId="0" fillId="5" borderId="2" xfId="0" applyFont="1" applyFill="1" applyBorder="1" applyAlignment="1"/>
    <xf numFmtId="0" fontId="2" fillId="5" borderId="1" xfId="0" applyFont="1" applyFill="1" applyBorder="1"/>
    <xf numFmtId="0" fontId="0" fillId="5" borderId="1" xfId="0" applyFont="1" applyFill="1" applyBorder="1"/>
    <xf numFmtId="0" fontId="0" fillId="5" borderId="0" xfId="0" applyFill="1"/>
    <xf numFmtId="14" fontId="0" fillId="5" borderId="0" xfId="0" applyNumberFormat="1" applyFill="1"/>
    <xf numFmtId="44" fontId="0" fillId="5" borderId="0" xfId="1" applyFont="1" applyFill="1"/>
    <xf numFmtId="14" fontId="0" fillId="5" borderId="0" xfId="1" applyNumberFormat="1" applyFont="1" applyFill="1"/>
    <xf numFmtId="0" fontId="0" fillId="5" borderId="0" xfId="0" applyFill="1" applyAlignment="1">
      <alignment horizontal="center"/>
    </xf>
    <xf numFmtId="0" fontId="2" fillId="5" borderId="3" xfId="0" quotePrefix="1" applyFont="1" applyFill="1" applyBorder="1"/>
    <xf numFmtId="44" fontId="2" fillId="5" borderId="3" xfId="1" quotePrefix="1" applyFont="1" applyFill="1" applyBorder="1"/>
    <xf numFmtId="44" fontId="2" fillId="5" borderId="3" xfId="1" applyFont="1" applyFill="1" applyBorder="1"/>
    <xf numFmtId="0" fontId="2" fillId="5" borderId="0" xfId="0" applyFont="1" applyFill="1"/>
    <xf numFmtId="44" fontId="0" fillId="5" borderId="0" xfId="0" applyNumberFormat="1" applyFill="1"/>
    <xf numFmtId="44" fontId="2" fillId="5" borderId="0" xfId="1" applyFont="1" applyFill="1"/>
    <xf numFmtId="0" fontId="2" fillId="2" borderId="0" xfId="0" applyFont="1" applyFill="1"/>
    <xf numFmtId="0" fontId="0" fillId="0" borderId="0" xfId="0" applyProtection="1">
      <protection locked="0"/>
    </xf>
    <xf numFmtId="0" fontId="0" fillId="0" borderId="1" xfId="0" applyFont="1" applyBorder="1" applyProtection="1">
      <protection locked="0"/>
    </xf>
    <xf numFmtId="14" fontId="0" fillId="0" borderId="2" xfId="0" applyNumberFormat="1" applyFont="1" applyFill="1" applyBorder="1" applyAlignment="1" applyProtection="1">
      <protection locked="0"/>
    </xf>
    <xf numFmtId="0" fontId="6" fillId="0" borderId="0" xfId="0" applyFont="1" applyAlignment="1">
      <alignment horizontal="center"/>
    </xf>
    <xf numFmtId="0" fontId="3" fillId="2" borderId="2" xfId="0" applyFont="1" applyFill="1" applyBorder="1" applyAlignment="1">
      <alignment horizontal="center"/>
    </xf>
    <xf numFmtId="0" fontId="0" fillId="5" borderId="0" xfId="0" applyFill="1" applyAlignment="1">
      <alignment horizontal="center"/>
    </xf>
    <xf numFmtId="44" fontId="0" fillId="5" borderId="0" xfId="1" applyFont="1" applyFill="1" applyAlignment="1">
      <alignment horizontal="center"/>
    </xf>
    <xf numFmtId="0" fontId="0" fillId="5" borderId="0" xfId="0" applyFill="1" applyAlignment="1">
      <alignment horizontal="left"/>
    </xf>
    <xf numFmtId="0" fontId="0" fillId="2" borderId="0" xfId="0" applyFont="1" applyFill="1" applyAlignment="1">
      <alignment horizontal="left"/>
    </xf>
    <xf numFmtId="0" fontId="0" fillId="3" borderId="0" xfId="0" applyFont="1" applyFill="1" applyAlignment="1" applyProtection="1">
      <alignment horizontal="left"/>
      <protection locked="0"/>
    </xf>
    <xf numFmtId="2" fontId="5" fillId="0" borderId="0" xfId="0" applyNumberFormat="1" applyFont="1" applyAlignment="1">
      <alignment horizontal="righ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D20"/>
  <sheetViews>
    <sheetView tabSelected="1" zoomScaleNormal="100" workbookViewId="0">
      <selection activeCell="D21" sqref="D21"/>
    </sheetView>
  </sheetViews>
  <sheetFormatPr baseColWidth="10" defaultRowHeight="15" x14ac:dyDescent="0.25"/>
  <cols>
    <col min="1" max="1" width="5.42578125" customWidth="1"/>
    <col min="2" max="2" width="2.5703125" bestFit="1" customWidth="1"/>
    <col min="3" max="3" width="5.28515625" customWidth="1"/>
    <col min="4" max="4" width="110.140625" customWidth="1"/>
  </cols>
  <sheetData>
    <row r="2" spans="1:4" ht="23.25" x14ac:dyDescent="0.35">
      <c r="A2" s="48" t="s">
        <v>58</v>
      </c>
      <c r="B2" s="48"/>
      <c r="C2" s="48"/>
      <c r="D2" s="48"/>
    </row>
    <row r="3" spans="1:4" ht="24" customHeight="1" x14ac:dyDescent="0.35">
      <c r="A3" s="48" t="s">
        <v>52</v>
      </c>
      <c r="B3" s="48"/>
      <c r="C3" s="48"/>
      <c r="D3" s="48"/>
    </row>
    <row r="4" spans="1:4" ht="24" customHeight="1" x14ac:dyDescent="0.35">
      <c r="A4" s="48" t="s">
        <v>53</v>
      </c>
      <c r="B4" s="48"/>
      <c r="C4" s="48"/>
      <c r="D4" s="48"/>
    </row>
    <row r="6" spans="1:4" x14ac:dyDescent="0.25">
      <c r="B6" t="s">
        <v>29</v>
      </c>
      <c r="C6" t="s">
        <v>54</v>
      </c>
    </row>
    <row r="7" spans="1:4" x14ac:dyDescent="0.25">
      <c r="C7" t="s">
        <v>48</v>
      </c>
    </row>
    <row r="9" spans="1:4" x14ac:dyDescent="0.25">
      <c r="B9" t="s">
        <v>30</v>
      </c>
      <c r="C9" t="s">
        <v>31</v>
      </c>
    </row>
    <row r="10" spans="1:4" ht="30" x14ac:dyDescent="0.25">
      <c r="C10" s="22" t="s">
        <v>32</v>
      </c>
      <c r="D10" s="23" t="s">
        <v>36</v>
      </c>
    </row>
    <row r="11" spans="1:4" ht="60" x14ac:dyDescent="0.25">
      <c r="C11" s="22" t="s">
        <v>32</v>
      </c>
      <c r="D11" s="23" t="s">
        <v>45</v>
      </c>
    </row>
    <row r="12" spans="1:4" ht="30" x14ac:dyDescent="0.25">
      <c r="C12" s="22" t="s">
        <v>32</v>
      </c>
      <c r="D12" s="23" t="s">
        <v>57</v>
      </c>
    </row>
    <row r="13" spans="1:4" ht="30" x14ac:dyDescent="0.25">
      <c r="C13" s="22" t="s">
        <v>32</v>
      </c>
      <c r="D13" s="23" t="s">
        <v>46</v>
      </c>
    </row>
    <row r="15" spans="1:4" x14ac:dyDescent="0.25">
      <c r="B15" t="s">
        <v>33</v>
      </c>
      <c r="C15" s="24" t="s">
        <v>34</v>
      </c>
    </row>
    <row r="16" spans="1:4" ht="30" x14ac:dyDescent="0.25">
      <c r="C16" s="22" t="s">
        <v>32</v>
      </c>
      <c r="D16" s="23" t="s">
        <v>37</v>
      </c>
    </row>
    <row r="17" spans="3:4" ht="30" x14ac:dyDescent="0.25">
      <c r="C17" s="22" t="s">
        <v>32</v>
      </c>
      <c r="D17" s="23" t="s">
        <v>47</v>
      </c>
    </row>
    <row r="18" spans="3:4" ht="45" x14ac:dyDescent="0.25">
      <c r="C18" s="22" t="s">
        <v>32</v>
      </c>
      <c r="D18" s="23" t="s">
        <v>49</v>
      </c>
    </row>
    <row r="19" spans="3:4" x14ac:dyDescent="0.25">
      <c r="C19" s="22" t="s">
        <v>32</v>
      </c>
      <c r="D19" t="s">
        <v>35</v>
      </c>
    </row>
    <row r="20" spans="3:4" ht="30" x14ac:dyDescent="0.25">
      <c r="C20" s="22" t="s">
        <v>32</v>
      </c>
      <c r="D20" s="23" t="s">
        <v>38</v>
      </c>
    </row>
  </sheetData>
  <sheetProtection algorithmName="SHA-512" hashValue="9s6oWgOvE6RbBCu1wE19JJsxGeYBTVcJJQ18+L5Wd64TTZMgArxq7gvL0y1TRe+oAGoSvQSQ1Egt+1Btnbw8fw==" saltValue="DPl8ixW1LYmZOEvZv+R+9w==" spinCount="100000" sheet="1" selectLockedCells="1" selectUnlockedCells="1"/>
  <mergeCells count="3">
    <mergeCell ref="A2:D2"/>
    <mergeCell ref="A3:D3"/>
    <mergeCell ref="A4:D4"/>
  </mergeCells>
  <pageMargins left="0.7" right="0.7" top="0.78740157499999996" bottom="0.78740157499999996" header="0.3" footer="0.3"/>
  <pageSetup paperSize="9" scale="67"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6"/>
  <sheetViews>
    <sheetView zoomScaleNormal="100" workbookViewId="0">
      <selection activeCell="F6" sqref="F6"/>
    </sheetView>
  </sheetViews>
  <sheetFormatPr baseColWidth="10" defaultRowHeight="15" x14ac:dyDescent="0.25"/>
  <cols>
    <col min="1" max="1" width="13.28515625" bestFit="1" customWidth="1"/>
    <col min="2" max="2" width="50.85546875" bestFit="1" customWidth="1"/>
    <col min="3" max="3" width="13.140625" style="9" customWidth="1"/>
    <col min="4" max="5" width="13.140625" style="28" hidden="1" customWidth="1"/>
    <col min="6" max="6" width="13.140625" style="9" customWidth="1"/>
    <col min="7" max="13" width="11.42578125" style="33" hidden="1" customWidth="1"/>
    <col min="14" max="15" width="11.42578125" style="35" hidden="1" customWidth="1"/>
    <col min="16" max="16" width="10" style="35" hidden="1" customWidth="1"/>
    <col min="17" max="18" width="11.42578125" style="35" hidden="1" customWidth="1"/>
    <col min="19" max="22" width="11.42578125" style="33" hidden="1" customWidth="1"/>
    <col min="23" max="23" width="12" style="33" hidden="1" customWidth="1"/>
    <col min="24" max="24" width="66" hidden="1" customWidth="1"/>
  </cols>
  <sheetData>
    <row r="1" spans="1:24" x14ac:dyDescent="0.25">
      <c r="A1" s="1" t="s">
        <v>8</v>
      </c>
      <c r="B1" s="1" t="s">
        <v>9</v>
      </c>
      <c r="C1" s="53" t="s">
        <v>10</v>
      </c>
      <c r="D1" s="53"/>
      <c r="E1" s="53"/>
      <c r="F1" s="53"/>
      <c r="G1" s="52" t="s">
        <v>20</v>
      </c>
      <c r="H1" s="52"/>
      <c r="I1" s="52"/>
      <c r="K1" s="34">
        <v>44396</v>
      </c>
      <c r="M1" s="35"/>
      <c r="R1" s="33"/>
      <c r="X1" s="1"/>
    </row>
    <row r="2" spans="1:24" x14ac:dyDescent="0.25">
      <c r="A2" s="45"/>
      <c r="B2" s="45"/>
      <c r="C2" s="54"/>
      <c r="D2" s="54"/>
      <c r="E2" s="54"/>
      <c r="F2" s="54"/>
      <c r="G2" s="52" t="s">
        <v>39</v>
      </c>
      <c r="H2" s="52"/>
      <c r="I2" s="52"/>
      <c r="K2" s="36">
        <v>44389</v>
      </c>
      <c r="L2" s="35"/>
      <c r="M2" s="35"/>
      <c r="P2" s="33"/>
      <c r="Q2" s="33"/>
      <c r="R2" s="33"/>
      <c r="X2" s="1"/>
    </row>
    <row r="3" spans="1:24" x14ac:dyDescent="0.25">
      <c r="A3" s="1"/>
      <c r="B3" s="1"/>
      <c r="C3" s="7"/>
      <c r="F3" s="7"/>
      <c r="G3" s="52" t="s">
        <v>42</v>
      </c>
      <c r="H3" s="52"/>
      <c r="I3" s="52"/>
      <c r="K3" s="34">
        <v>44347</v>
      </c>
      <c r="X3" s="1"/>
    </row>
    <row r="4" spans="1:24" x14ac:dyDescent="0.25">
      <c r="A4" s="1"/>
      <c r="B4" s="1"/>
      <c r="C4" s="7"/>
      <c r="F4" s="7"/>
      <c r="G4" s="52" t="s">
        <v>50</v>
      </c>
      <c r="H4" s="52"/>
      <c r="I4" s="52"/>
      <c r="K4" s="34">
        <v>44516</v>
      </c>
      <c r="X4" s="1"/>
    </row>
    <row r="5" spans="1:24" x14ac:dyDescent="0.25">
      <c r="A5" s="1"/>
      <c r="B5" s="1"/>
      <c r="C5" s="7"/>
      <c r="F5" s="7"/>
      <c r="G5" s="52" t="s">
        <v>56</v>
      </c>
      <c r="H5" s="52"/>
      <c r="I5" s="52"/>
      <c r="K5" s="34">
        <v>44522</v>
      </c>
      <c r="X5" s="1"/>
    </row>
    <row r="6" spans="1:24" ht="15.75" x14ac:dyDescent="0.25">
      <c r="A6" s="49" t="s">
        <v>23</v>
      </c>
      <c r="B6" s="49"/>
      <c r="C6" s="6" t="s">
        <v>17</v>
      </c>
      <c r="D6" s="29"/>
      <c r="E6" s="30"/>
      <c r="F6" s="47"/>
      <c r="G6" s="50" t="s">
        <v>21</v>
      </c>
      <c r="H6" s="50"/>
      <c r="I6" s="50"/>
      <c r="J6" s="37"/>
      <c r="K6" s="51" t="s">
        <v>40</v>
      </c>
      <c r="L6" s="51"/>
      <c r="M6" s="51"/>
      <c r="N6" s="51" t="s">
        <v>22</v>
      </c>
      <c r="O6" s="51"/>
      <c r="P6" s="51"/>
      <c r="Q6" s="51" t="s">
        <v>41</v>
      </c>
      <c r="R6" s="51"/>
      <c r="X6" s="1" t="str">
        <f>IF(F6&lt;$K$3, "Eine Belieferung der Ärzte kann erst ab dem 31.05.2021 erfolgen", "")</f>
        <v>Eine Belieferung der Ärzte kann erst ab dem 31.05.2021 erfolgen</v>
      </c>
    </row>
    <row r="7" spans="1:24" s="10" customFormat="1" x14ac:dyDescent="0.25">
      <c r="A7" s="2" t="s">
        <v>0</v>
      </c>
      <c r="B7" s="2" t="s">
        <v>6</v>
      </c>
      <c r="C7" s="2" t="s">
        <v>1</v>
      </c>
      <c r="D7" s="31" t="s">
        <v>43</v>
      </c>
      <c r="E7" s="31" t="s">
        <v>44</v>
      </c>
      <c r="F7" s="2" t="s">
        <v>2</v>
      </c>
      <c r="G7" s="38" t="s">
        <v>28</v>
      </c>
      <c r="H7" s="38" t="s">
        <v>11</v>
      </c>
      <c r="I7" s="38" t="s">
        <v>12</v>
      </c>
      <c r="J7" s="38" t="s">
        <v>17</v>
      </c>
      <c r="K7" s="39" t="s">
        <v>28</v>
      </c>
      <c r="L7" s="39" t="s">
        <v>11</v>
      </c>
      <c r="M7" s="39" t="s">
        <v>12</v>
      </c>
      <c r="N7" s="39" t="s">
        <v>28</v>
      </c>
      <c r="O7" s="39" t="s">
        <v>11</v>
      </c>
      <c r="P7" s="39" t="s">
        <v>12</v>
      </c>
      <c r="Q7" s="39" t="s">
        <v>18</v>
      </c>
      <c r="R7" s="39" t="s">
        <v>19</v>
      </c>
      <c r="S7" s="40" t="s">
        <v>13</v>
      </c>
      <c r="T7" s="40" t="s">
        <v>14</v>
      </c>
      <c r="U7" s="41"/>
      <c r="V7" s="41"/>
      <c r="W7" s="41"/>
      <c r="X7" s="44"/>
    </row>
    <row r="8" spans="1:24" x14ac:dyDescent="0.25">
      <c r="A8" s="3">
        <v>17377625</v>
      </c>
      <c r="B8" s="3" t="s">
        <v>3</v>
      </c>
      <c r="C8" s="46"/>
      <c r="D8" s="32">
        <f>ROUND(C8,0)</f>
        <v>0</v>
      </c>
      <c r="E8" s="32">
        <f>C8</f>
        <v>0</v>
      </c>
      <c r="F8" s="11" t="str">
        <f>IF(AND(C8&gt;0,X8="",J8&gt;=$K$3), N8+O8+P8, "")</f>
        <v/>
      </c>
      <c r="G8" s="33">
        <f>IF(E8&lt;100,C8,IF(E8-C8&gt;100,0,MIN(100-(E8-C8))))</f>
        <v>0</v>
      </c>
      <c r="H8" s="33">
        <f>IF(E8&lt;=100,0,IF(E8-C8&gt;150,0,MIN(150,E8)-MAX(100,E8-C8)))</f>
        <v>0</v>
      </c>
      <c r="I8" s="33">
        <f>IF(E8&lt;=150,0,E8-MAX(150,E8-C8))</f>
        <v>0</v>
      </c>
      <c r="J8" s="34">
        <f>F$6</f>
        <v>0</v>
      </c>
      <c r="K8" s="33" t="str">
        <f>IF($J8&lt;$K$3, "", IF($J8&lt;$K$2,6.58,7.58))</f>
        <v/>
      </c>
      <c r="L8" s="33" t="str">
        <f>IF($J8&lt;$K$3, "", IF($J8&lt;$K$2,4.28,4.92))</f>
        <v/>
      </c>
      <c r="M8" s="33" t="str">
        <f>IF($J8&lt;$K$3, "", IF($J8&lt;$K$2,2.19,2.52))</f>
        <v/>
      </c>
      <c r="N8" s="35" t="str">
        <f>IF($J8&lt;$K$3, "",G8*ROUND((K8+$Q8+$R8)*1.19,2))</f>
        <v/>
      </c>
      <c r="O8" s="35" t="str">
        <f t="shared" ref="O8:P8" si="0">IF($J8&lt;$K$3, "",H8*ROUND((L8+$Q8+$R8)*1.19,2))</f>
        <v/>
      </c>
      <c r="P8" s="35" t="str">
        <f t="shared" si="0"/>
        <v/>
      </c>
      <c r="Q8" s="35">
        <f>IF(J8&lt;$K$4,1.65,IF(J8&lt;$K$5,1.4,3.72))</f>
        <v>1.65</v>
      </c>
      <c r="R8" s="35">
        <f>IF(J8&lt;$K$1,8.6,7.45)</f>
        <v>8.6</v>
      </c>
      <c r="S8" s="33">
        <f>IF(C8&gt;0,1,0)</f>
        <v>0</v>
      </c>
      <c r="T8" s="33">
        <f>S8</f>
        <v>0</v>
      </c>
      <c r="U8" s="33" t="str">
        <f>IF(S8&gt;0,A8,"")</f>
        <v/>
      </c>
      <c r="V8" s="33" t="str">
        <f>IF(S8&gt;0,C8,"")</f>
        <v/>
      </c>
      <c r="W8" s="42" t="str">
        <f>IF(S8&gt;0,F8,"")</f>
        <v/>
      </c>
      <c r="X8" s="1" t="str">
        <f>IF(AND(C8&lt;&gt;0,T8&gt;3),"Es dürfen maximal 3 Positionen auf einem Rezept gedruckt werden!","")</f>
        <v/>
      </c>
    </row>
    <row r="9" spans="1:24" x14ac:dyDescent="0.25">
      <c r="A9" s="3">
        <v>17377588</v>
      </c>
      <c r="B9" s="3" t="s">
        <v>4</v>
      </c>
      <c r="C9" s="46"/>
      <c r="D9" s="32">
        <f t="shared" ref="D9:D13" si="1">ROUND(C9,0)</f>
        <v>0</v>
      </c>
      <c r="E9" s="32">
        <f>E8+C9</f>
        <v>0</v>
      </c>
      <c r="F9" s="11" t="str">
        <f t="shared" ref="F9:F13" si="2">IF(AND(C9&gt;0,X9="",J9&gt;=$K$3), N9+O9+P9, "")</f>
        <v/>
      </c>
      <c r="G9" s="33">
        <f t="shared" ref="G9:G13" si="3">IF(E9&lt;100,C9,IF(E9-C9&gt;100,0,MIN(100-(E9-C9))))</f>
        <v>0</v>
      </c>
      <c r="H9" s="33">
        <f t="shared" ref="H9:H13" si="4">IF(E9&lt;=100,0,IF(E9-C9&gt;150,0,MIN(150,E9)-MAX(100,E9-C9)))</f>
        <v>0</v>
      </c>
      <c r="I9" s="33">
        <f t="shared" ref="I9:I13" si="5">IF(E9&lt;=150,0,E9-MAX(150,E9-C9))</f>
        <v>0</v>
      </c>
      <c r="J9" s="34">
        <f t="shared" ref="J9:J13" si="6">F$6</f>
        <v>0</v>
      </c>
      <c r="K9" s="33" t="str">
        <f t="shared" ref="K9:K13" si="7">IF($J9&lt;$K$3, "", IF($J9&lt;$K$2,6.58,7.58))</f>
        <v/>
      </c>
      <c r="L9" s="33" t="str">
        <f t="shared" ref="L9:L13" si="8">IF($J9&lt;$K$3, "", IF($J9&lt;$K$2,4.28,4.92))</f>
        <v/>
      </c>
      <c r="M9" s="33" t="str">
        <f t="shared" ref="M9:M13" si="9">IF($J9&lt;$K$3, "", IF($J9&lt;$K$2,2.19,2.52))</f>
        <v/>
      </c>
      <c r="N9" s="35" t="str">
        <f t="shared" ref="N9:N13" si="10">IF($J9&lt;$K$3, "",G9*ROUND((K9+$Q9+$R9)*1.19,2))</f>
        <v/>
      </c>
      <c r="O9" s="35" t="str">
        <f t="shared" ref="O9:O13" si="11">IF($J9&lt;$K$3, "",H9*ROUND((L9+$Q9+$R9)*1.19,2))</f>
        <v/>
      </c>
      <c r="P9" s="35" t="str">
        <f t="shared" ref="P9:P13" si="12">IF($J9&lt;$K$3, "",I9*ROUND((M9+$Q9+$R9)*1.19,2))</f>
        <v/>
      </c>
      <c r="Q9" s="35">
        <f t="shared" ref="Q9:Q13" si="13">IF(J9&lt;$K$4,1.65,IF(J9&lt;$K$5,1.4,3.72))</f>
        <v>1.65</v>
      </c>
      <c r="R9" s="35">
        <f t="shared" ref="R9:R13" si="14">IF(J9&lt;$K$1,8.6,7.45)</f>
        <v>8.6</v>
      </c>
      <c r="S9" s="33">
        <f>IF(C9&gt;0,T8+1,0)</f>
        <v>0</v>
      </c>
      <c r="T9" s="33">
        <f>IF(C9&gt;0,T8+1,T8)</f>
        <v>0</v>
      </c>
      <c r="U9" s="33" t="str">
        <f t="shared" ref="U9:U13" si="15">IF(S9&gt;0,A9,"")</f>
        <v/>
      </c>
      <c r="V9" s="33" t="str">
        <f t="shared" ref="V9:V13" si="16">IF(S9&gt;0,C9,"")</f>
        <v/>
      </c>
      <c r="W9" s="42" t="str">
        <f t="shared" ref="W9:W13" si="17">IF(S9&gt;0,F9,"")</f>
        <v/>
      </c>
      <c r="X9" s="1" t="str">
        <f t="shared" ref="X9:X10" si="18">IF(AND(C9&lt;&gt;0,T9&gt;3),"Es dürfen maximal 3 Positionen auf einem Rezept gedruckt werden!","")</f>
        <v/>
      </c>
    </row>
    <row r="10" spans="1:24" x14ac:dyDescent="0.25">
      <c r="A10" s="3">
        <v>17377602</v>
      </c>
      <c r="B10" s="3" t="s">
        <v>51</v>
      </c>
      <c r="C10" s="46"/>
      <c r="D10" s="32">
        <f t="shared" si="1"/>
        <v>0</v>
      </c>
      <c r="E10" s="32">
        <f>E9+C10</f>
        <v>0</v>
      </c>
      <c r="F10" s="11" t="str">
        <f t="shared" si="2"/>
        <v/>
      </c>
      <c r="G10" s="33">
        <f t="shared" si="3"/>
        <v>0</v>
      </c>
      <c r="H10" s="33">
        <f t="shared" si="4"/>
        <v>0</v>
      </c>
      <c r="I10" s="33">
        <f t="shared" si="5"/>
        <v>0</v>
      </c>
      <c r="J10" s="34">
        <f t="shared" si="6"/>
        <v>0</v>
      </c>
      <c r="K10" s="33" t="str">
        <f t="shared" si="7"/>
        <v/>
      </c>
      <c r="L10" s="33" t="str">
        <f t="shared" si="8"/>
        <v/>
      </c>
      <c r="M10" s="33" t="str">
        <f t="shared" si="9"/>
        <v/>
      </c>
      <c r="N10" s="35" t="str">
        <f t="shared" si="10"/>
        <v/>
      </c>
      <c r="O10" s="35" t="str">
        <f t="shared" si="11"/>
        <v/>
      </c>
      <c r="P10" s="35" t="str">
        <f t="shared" si="12"/>
        <v/>
      </c>
      <c r="Q10" s="35">
        <f>IF(J10&lt;$K$4,1.65,IF(J10&lt;$K$5,2.8,3.72))</f>
        <v>1.65</v>
      </c>
      <c r="R10" s="35">
        <f t="shared" si="14"/>
        <v>8.6</v>
      </c>
      <c r="S10" s="33">
        <f t="shared" ref="S10:S11" si="19">IF(C10&gt;0,T9+1,0)</f>
        <v>0</v>
      </c>
      <c r="T10" s="33">
        <f>IF(C10&gt;0,T9+1,T9)</f>
        <v>0</v>
      </c>
      <c r="U10" s="33" t="str">
        <f t="shared" si="15"/>
        <v/>
      </c>
      <c r="V10" s="33" t="str">
        <f t="shared" si="16"/>
        <v/>
      </c>
      <c r="W10" s="42" t="str">
        <f t="shared" si="17"/>
        <v/>
      </c>
      <c r="X10" s="1" t="str">
        <f t="shared" si="18"/>
        <v/>
      </c>
    </row>
    <row r="11" spans="1:24" x14ac:dyDescent="0.25">
      <c r="A11" s="3">
        <v>17377648</v>
      </c>
      <c r="B11" s="3" t="s">
        <v>5</v>
      </c>
      <c r="C11" s="46"/>
      <c r="D11" s="32">
        <f>ROUND(C11,0)</f>
        <v>0</v>
      </c>
      <c r="E11" s="32">
        <f>E10+C11</f>
        <v>0</v>
      </c>
      <c r="F11" s="11" t="str">
        <f t="shared" si="2"/>
        <v/>
      </c>
      <c r="G11" s="33">
        <f t="shared" si="3"/>
        <v>0</v>
      </c>
      <c r="H11" s="33">
        <f t="shared" si="4"/>
        <v>0</v>
      </c>
      <c r="I11" s="33">
        <f t="shared" si="5"/>
        <v>0</v>
      </c>
      <c r="J11" s="34">
        <f t="shared" si="6"/>
        <v>0</v>
      </c>
      <c r="K11" s="33" t="str">
        <f t="shared" si="7"/>
        <v/>
      </c>
      <c r="L11" s="33" t="str">
        <f t="shared" si="8"/>
        <v/>
      </c>
      <c r="M11" s="33" t="str">
        <f t="shared" si="9"/>
        <v/>
      </c>
      <c r="N11" s="35" t="str">
        <f t="shared" si="10"/>
        <v/>
      </c>
      <c r="O11" s="35" t="str">
        <f t="shared" si="11"/>
        <v/>
      </c>
      <c r="P11" s="35" t="str">
        <f t="shared" si="12"/>
        <v/>
      </c>
      <c r="Q11" s="35">
        <f t="shared" si="13"/>
        <v>1.65</v>
      </c>
      <c r="R11" s="35">
        <f t="shared" si="14"/>
        <v>8.6</v>
      </c>
      <c r="S11" s="33">
        <f t="shared" si="19"/>
        <v>0</v>
      </c>
      <c r="T11" s="33">
        <f t="shared" ref="T11" si="20">IF(C11&gt;0,T10+1,T10)</f>
        <v>0</v>
      </c>
      <c r="U11" s="33" t="str">
        <f t="shared" si="15"/>
        <v/>
      </c>
      <c r="V11" s="33" t="str">
        <f t="shared" si="16"/>
        <v/>
      </c>
      <c r="W11" s="42" t="str">
        <f t="shared" si="17"/>
        <v/>
      </c>
      <c r="X11" s="1" t="str">
        <f>IF(AND(C11&lt;&gt;0,T11&gt;3),"Es dürfen maximal 3 Positionen auf einem Rezept gedruckt werden!","")</f>
        <v/>
      </c>
    </row>
    <row r="12" spans="1:24" x14ac:dyDescent="0.25">
      <c r="A12" s="3">
        <v>17895975</v>
      </c>
      <c r="B12" s="3" t="s">
        <v>55</v>
      </c>
      <c r="C12" s="46"/>
      <c r="D12" s="32">
        <f>ROUND(C12,0)</f>
        <v>0</v>
      </c>
      <c r="E12" s="32">
        <f>E11+C12</f>
        <v>0</v>
      </c>
      <c r="F12" s="11" t="str">
        <f t="shared" si="2"/>
        <v/>
      </c>
      <c r="G12" s="33">
        <f t="shared" si="3"/>
        <v>0</v>
      </c>
      <c r="H12" s="33">
        <f t="shared" si="4"/>
        <v>0</v>
      </c>
      <c r="I12" s="33">
        <f t="shared" si="5"/>
        <v>0</v>
      </c>
      <c r="J12" s="34">
        <f t="shared" si="6"/>
        <v>0</v>
      </c>
      <c r="K12" s="33" t="str">
        <f t="shared" si="7"/>
        <v/>
      </c>
      <c r="L12" s="33" t="str">
        <f t="shared" si="8"/>
        <v/>
      </c>
      <c r="M12" s="33" t="str">
        <f t="shared" si="9"/>
        <v/>
      </c>
      <c r="N12" s="35" t="str">
        <f t="shared" si="10"/>
        <v/>
      </c>
      <c r="O12" s="35" t="str">
        <f t="shared" si="11"/>
        <v/>
      </c>
      <c r="P12" s="35" t="str">
        <f t="shared" si="12"/>
        <v/>
      </c>
      <c r="Q12" s="35">
        <f t="shared" si="13"/>
        <v>1.65</v>
      </c>
      <c r="R12" s="35">
        <f t="shared" si="14"/>
        <v>8.6</v>
      </c>
      <c r="S12" s="33">
        <f t="shared" ref="S12:S13" si="21">IF(C12&gt;0,T11+1,0)</f>
        <v>0</v>
      </c>
      <c r="T12" s="33">
        <f t="shared" ref="T12:T13" si="22">IF(C12&gt;0,T11+1,T11)</f>
        <v>0</v>
      </c>
      <c r="U12" s="33" t="str">
        <f t="shared" si="15"/>
        <v/>
      </c>
      <c r="V12" s="33" t="str">
        <f t="shared" si="16"/>
        <v/>
      </c>
      <c r="W12" s="42" t="str">
        <f t="shared" si="17"/>
        <v/>
      </c>
      <c r="X12" s="1" t="str">
        <f t="shared" ref="X12:X13" si="23">IF(AND(C12&lt;&gt;0,T12&gt;3),"Es dürfen maximal 3 Positionen auf einem Rezept gedruckt werden!","")</f>
        <v/>
      </c>
    </row>
    <row r="13" spans="1:24" x14ac:dyDescent="0.25">
      <c r="A13" s="3">
        <v>17899252</v>
      </c>
      <c r="B13" s="3" t="s">
        <v>59</v>
      </c>
      <c r="C13" s="46"/>
      <c r="D13" s="32">
        <f t="shared" si="1"/>
        <v>0</v>
      </c>
      <c r="E13" s="32">
        <f>E12+C13</f>
        <v>0</v>
      </c>
      <c r="F13" s="11" t="str">
        <f t="shared" si="2"/>
        <v/>
      </c>
      <c r="G13" s="33">
        <f t="shared" si="3"/>
        <v>0</v>
      </c>
      <c r="H13" s="33">
        <f t="shared" si="4"/>
        <v>0</v>
      </c>
      <c r="I13" s="33">
        <f t="shared" si="5"/>
        <v>0</v>
      </c>
      <c r="J13" s="34">
        <f t="shared" si="6"/>
        <v>0</v>
      </c>
      <c r="K13" s="33" t="str">
        <f t="shared" si="7"/>
        <v/>
      </c>
      <c r="L13" s="33" t="str">
        <f t="shared" si="8"/>
        <v/>
      </c>
      <c r="M13" s="33" t="str">
        <f t="shared" si="9"/>
        <v/>
      </c>
      <c r="N13" s="35" t="str">
        <f t="shared" si="10"/>
        <v/>
      </c>
      <c r="O13" s="35" t="str">
        <f t="shared" si="11"/>
        <v/>
      </c>
      <c r="P13" s="35" t="str">
        <f t="shared" si="12"/>
        <v/>
      </c>
      <c r="Q13" s="35">
        <f t="shared" si="13"/>
        <v>1.65</v>
      </c>
      <c r="R13" s="35">
        <f t="shared" si="14"/>
        <v>8.6</v>
      </c>
      <c r="S13" s="33">
        <f t="shared" si="21"/>
        <v>0</v>
      </c>
      <c r="T13" s="33">
        <f t="shared" si="22"/>
        <v>0</v>
      </c>
      <c r="U13" s="33" t="str">
        <f t="shared" si="15"/>
        <v/>
      </c>
      <c r="V13" s="33" t="str">
        <f t="shared" si="16"/>
        <v/>
      </c>
      <c r="W13" s="42" t="str">
        <f t="shared" si="17"/>
        <v/>
      </c>
      <c r="X13" s="1" t="str">
        <f t="shared" si="23"/>
        <v/>
      </c>
    </row>
    <row r="14" spans="1:24" x14ac:dyDescent="0.25">
      <c r="A14" s="3"/>
      <c r="B14" s="2" t="s">
        <v>7</v>
      </c>
      <c r="C14" s="8">
        <f>SUM(C8:C13)</f>
        <v>0</v>
      </c>
      <c r="D14" s="32"/>
      <c r="E14" s="32"/>
      <c r="F14" s="11">
        <f>SUM(F8:F13)</f>
        <v>0</v>
      </c>
      <c r="X14" s="1"/>
    </row>
    <row r="15" spans="1:24" x14ac:dyDescent="0.25">
      <c r="A15" s="1"/>
      <c r="B15" s="1"/>
      <c r="C15" s="7"/>
      <c r="F15" s="7"/>
      <c r="X15" s="1"/>
    </row>
    <row r="16" spans="1:24" ht="15.75" x14ac:dyDescent="0.25">
      <c r="A16" s="49" t="s">
        <v>24</v>
      </c>
      <c r="B16" s="49"/>
      <c r="C16" s="6" t="s">
        <v>17</v>
      </c>
      <c r="D16" s="29"/>
      <c r="E16" s="30"/>
      <c r="F16" s="47"/>
      <c r="X16" s="1" t="str">
        <f>IF(F16&lt;$K$3, "Eine Belieferung der Ärzte kann erst ab dem 31.05.2021 erfolgen", "")</f>
        <v>Eine Belieferung der Ärzte kann erst ab dem 31.05.2021 erfolgen</v>
      </c>
    </row>
    <row r="17" spans="1:24" s="10" customFormat="1" x14ac:dyDescent="0.25">
      <c r="A17" s="2" t="s">
        <v>0</v>
      </c>
      <c r="B17" s="2" t="s">
        <v>6</v>
      </c>
      <c r="C17" s="2" t="s">
        <v>1</v>
      </c>
      <c r="D17" s="31" t="s">
        <v>43</v>
      </c>
      <c r="E17" s="31" t="s">
        <v>44</v>
      </c>
      <c r="F17" s="2" t="s">
        <v>2</v>
      </c>
      <c r="G17" s="41"/>
      <c r="H17" s="41"/>
      <c r="I17" s="41"/>
      <c r="J17" s="41"/>
      <c r="K17" s="41"/>
      <c r="L17" s="41"/>
      <c r="M17" s="41"/>
      <c r="N17" s="43"/>
      <c r="O17" s="43"/>
      <c r="P17" s="43"/>
      <c r="Q17" s="43"/>
      <c r="R17" s="43"/>
      <c r="S17" s="41"/>
      <c r="T17" s="41"/>
      <c r="U17" s="41"/>
      <c r="V17" s="41"/>
      <c r="W17" s="41"/>
      <c r="X17" s="44"/>
    </row>
    <row r="18" spans="1:24" x14ac:dyDescent="0.25">
      <c r="A18" s="3">
        <v>17377625</v>
      </c>
      <c r="B18" s="3" t="s">
        <v>3</v>
      </c>
      <c r="C18" s="46"/>
      <c r="D18" s="32">
        <f>ROUND(C18,0)</f>
        <v>0</v>
      </c>
      <c r="E18" s="32">
        <f>E13+C18</f>
        <v>0</v>
      </c>
      <c r="F18" s="11" t="str">
        <f>IF(AND(C18&gt;0,X18="",J18&gt;=$K$3), N18+O18+P18, "")</f>
        <v/>
      </c>
      <c r="G18" s="33">
        <f>IF(E18&lt;100,C18,IF(E18-C18&gt;100,0,MIN(100-(E18-C18))))</f>
        <v>0</v>
      </c>
      <c r="H18" s="33">
        <f>IF(E18&lt;=100,0,IF(E18-C18&gt;150,0,MIN(150,E18)-MAX(100,E18-C18)))</f>
        <v>0</v>
      </c>
      <c r="I18" s="33">
        <f>IF(E18&lt;=150,0,E18-MAX(150,E18-C18))</f>
        <v>0</v>
      </c>
      <c r="J18" s="34">
        <f>F$16</f>
        <v>0</v>
      </c>
      <c r="K18" s="33" t="str">
        <f>IF($J18&lt;$K$3, "", IF($J18&lt;$K$2,6.58,7.58))</f>
        <v/>
      </c>
      <c r="L18" s="33" t="str">
        <f>IF($J18&lt;$K$3, "", IF($J18&lt;$K$2,4.28,4.92))</f>
        <v/>
      </c>
      <c r="M18" s="33" t="str">
        <f>IF($J18&lt;$K$3, "", IF($J18&lt;$K$2,2.19,2.52))</f>
        <v/>
      </c>
      <c r="N18" s="35" t="str">
        <f>IF($J18&lt;$K$3, "",G18*ROUND((K18+$Q18+$R18)*1.19,2))</f>
        <v/>
      </c>
      <c r="O18" s="35" t="str">
        <f t="shared" ref="O18:O23" si="24">IF($J18&lt;$K$3, "",H18*ROUND((L18+$Q18+$R18)*1.19,2))</f>
        <v/>
      </c>
      <c r="P18" s="35" t="str">
        <f t="shared" ref="P18:P23" si="25">IF($J18&lt;$K$3, "",I18*ROUND((M18+$Q18+$R18)*1.19,2))</f>
        <v/>
      </c>
      <c r="Q18" s="35">
        <f>IF(J18&lt;$K$4,1.65,IF(J18&lt;$K$5,1.4,3.72))</f>
        <v>1.65</v>
      </c>
      <c r="R18" s="35">
        <f>IF(J18&lt;$K$1,8.6,7.45)</f>
        <v>8.6</v>
      </c>
      <c r="S18" s="33">
        <f>IF(C18&gt;0,1,0)</f>
        <v>0</v>
      </c>
      <c r="T18" s="33">
        <f>S18</f>
        <v>0</v>
      </c>
      <c r="U18" s="33" t="str">
        <f>IF(S18&gt;0,A18,"")</f>
        <v/>
      </c>
      <c r="V18" s="33" t="str">
        <f>IF(S18&gt;0,C18,"")</f>
        <v/>
      </c>
      <c r="W18" s="42" t="str">
        <f>IF(S18&gt;0,F18,"")</f>
        <v/>
      </c>
      <c r="X18" s="1" t="str">
        <f>IF(AND(C18&lt;&gt;0,T18&gt;3),"Es dürfen maximal 3 Positionen auf einem Rezept gedruckt werden!","")</f>
        <v/>
      </c>
    </row>
    <row r="19" spans="1:24" x14ac:dyDescent="0.25">
      <c r="A19" s="3">
        <v>17377588</v>
      </c>
      <c r="B19" s="3" t="s">
        <v>4</v>
      </c>
      <c r="C19" s="46"/>
      <c r="D19" s="32">
        <f t="shared" ref="D19:D23" si="26">ROUND(C19,0)</f>
        <v>0</v>
      </c>
      <c r="E19" s="32">
        <f>E18+C19</f>
        <v>0</v>
      </c>
      <c r="F19" s="11" t="str">
        <f t="shared" ref="F19:F23" si="27">IF(AND(C19&gt;0,X19="",J19&gt;=$K$3), N19+O19+P19, "")</f>
        <v/>
      </c>
      <c r="G19" s="33">
        <f t="shared" ref="G19:G23" si="28">IF(E19&lt;100,C19,IF(E19-C19&gt;100,0,MIN(100-(E19-C19))))</f>
        <v>0</v>
      </c>
      <c r="H19" s="33">
        <f t="shared" ref="H19:H23" si="29">IF(E19&lt;=100,0,IF(E19-C19&gt;150,0,MIN(150,E19)-MAX(100,E19-C19)))</f>
        <v>0</v>
      </c>
      <c r="I19" s="33">
        <f t="shared" ref="I19:I23" si="30">IF(E19&lt;=150,0,E19-MAX(150,E19-C19))</f>
        <v>0</v>
      </c>
      <c r="J19" s="34">
        <f t="shared" ref="J19:J23" si="31">F$16</f>
        <v>0</v>
      </c>
      <c r="K19" s="33" t="str">
        <f t="shared" ref="K19:K23" si="32">IF($J19&lt;$K$3, "", IF($J19&lt;$K$2,6.58,7.58))</f>
        <v/>
      </c>
      <c r="L19" s="33" t="str">
        <f t="shared" ref="L19:L23" si="33">IF($J19&lt;$K$3, "", IF($J19&lt;$K$2,4.28,4.92))</f>
        <v/>
      </c>
      <c r="M19" s="33" t="str">
        <f t="shared" ref="M19:M23" si="34">IF($J19&lt;$K$3, "", IF($J19&lt;$K$2,2.19,2.52))</f>
        <v/>
      </c>
      <c r="N19" s="35" t="str">
        <f t="shared" ref="N19:N23" si="35">IF($J19&lt;$K$3, "",G19*ROUND((K19+$Q19+$R19)*1.19,2))</f>
        <v/>
      </c>
      <c r="O19" s="35" t="str">
        <f t="shared" si="24"/>
        <v/>
      </c>
      <c r="P19" s="35" t="str">
        <f t="shared" si="25"/>
        <v/>
      </c>
      <c r="Q19" s="35">
        <f t="shared" ref="Q19:Q23" si="36">IF(J19&lt;$K$4,1.65,IF(J19&lt;$K$5,1.4,3.72))</f>
        <v>1.65</v>
      </c>
      <c r="R19" s="35">
        <f t="shared" ref="R19:R23" si="37">IF(J19&lt;$K$1,8.6,7.45)</f>
        <v>8.6</v>
      </c>
      <c r="S19" s="33">
        <f>IF(C19&gt;0,T18+1,0)</f>
        <v>0</v>
      </c>
      <c r="T19" s="33">
        <f>IF(C19&gt;0,T18+1,T18)</f>
        <v>0</v>
      </c>
      <c r="U19" s="33" t="str">
        <f t="shared" ref="U19:U23" si="38">IF(S19&gt;0,A19,"")</f>
        <v/>
      </c>
      <c r="V19" s="33" t="str">
        <f t="shared" ref="V19:V23" si="39">IF(S19&gt;0,C19,"")</f>
        <v/>
      </c>
      <c r="W19" s="42" t="str">
        <f t="shared" ref="W19:W23" si="40">IF(S19&gt;0,F19,"")</f>
        <v/>
      </c>
      <c r="X19" s="1" t="str">
        <f t="shared" ref="X19:X20" si="41">IF(AND(C19&lt;&gt;0,T19&gt;3),"Es dürfen maximal 3 Positionen auf einem Rezept gedruckt werden!","")</f>
        <v/>
      </c>
    </row>
    <row r="20" spans="1:24" x14ac:dyDescent="0.25">
      <c r="A20" s="3">
        <v>17377602</v>
      </c>
      <c r="B20" s="3" t="s">
        <v>51</v>
      </c>
      <c r="C20" s="46"/>
      <c r="D20" s="32">
        <f t="shared" si="26"/>
        <v>0</v>
      </c>
      <c r="E20" s="32">
        <f t="shared" ref="E20:E23" si="42">E19+C20</f>
        <v>0</v>
      </c>
      <c r="F20" s="11" t="str">
        <f t="shared" si="27"/>
        <v/>
      </c>
      <c r="G20" s="33">
        <f t="shared" si="28"/>
        <v>0</v>
      </c>
      <c r="H20" s="33">
        <f t="shared" si="29"/>
        <v>0</v>
      </c>
      <c r="I20" s="33">
        <f t="shared" si="30"/>
        <v>0</v>
      </c>
      <c r="J20" s="34">
        <f t="shared" si="31"/>
        <v>0</v>
      </c>
      <c r="K20" s="33" t="str">
        <f t="shared" si="32"/>
        <v/>
      </c>
      <c r="L20" s="33" t="str">
        <f t="shared" si="33"/>
        <v/>
      </c>
      <c r="M20" s="33" t="str">
        <f t="shared" si="34"/>
        <v/>
      </c>
      <c r="N20" s="35" t="str">
        <f t="shared" si="35"/>
        <v/>
      </c>
      <c r="O20" s="35" t="str">
        <f t="shared" si="24"/>
        <v/>
      </c>
      <c r="P20" s="35" t="str">
        <f t="shared" si="25"/>
        <v/>
      </c>
      <c r="Q20" s="35">
        <f>IF(J20&lt;$K$4,1.65,IF(J20&lt;$K$5,2.8,3.72))</f>
        <v>1.65</v>
      </c>
      <c r="R20" s="35">
        <f t="shared" si="37"/>
        <v>8.6</v>
      </c>
      <c r="S20" s="33">
        <f t="shared" ref="S20:S23" si="43">IF(C20&gt;0,T19+1,0)</f>
        <v>0</v>
      </c>
      <c r="T20" s="33">
        <f>IF(C20&gt;0,T19+1,T19)</f>
        <v>0</v>
      </c>
      <c r="U20" s="33" t="str">
        <f t="shared" si="38"/>
        <v/>
      </c>
      <c r="V20" s="33" t="str">
        <f t="shared" si="39"/>
        <v/>
      </c>
      <c r="W20" s="42" t="str">
        <f t="shared" si="40"/>
        <v/>
      </c>
      <c r="X20" s="1" t="str">
        <f t="shared" si="41"/>
        <v/>
      </c>
    </row>
    <row r="21" spans="1:24" x14ac:dyDescent="0.25">
      <c r="A21" s="3">
        <v>17377648</v>
      </c>
      <c r="B21" s="3" t="s">
        <v>5</v>
      </c>
      <c r="C21" s="46"/>
      <c r="D21" s="32">
        <f t="shared" si="26"/>
        <v>0</v>
      </c>
      <c r="E21" s="32">
        <f t="shared" si="42"/>
        <v>0</v>
      </c>
      <c r="F21" s="11" t="str">
        <f t="shared" si="27"/>
        <v/>
      </c>
      <c r="G21" s="33">
        <f t="shared" si="28"/>
        <v>0</v>
      </c>
      <c r="H21" s="33">
        <f t="shared" si="29"/>
        <v>0</v>
      </c>
      <c r="I21" s="33">
        <f t="shared" si="30"/>
        <v>0</v>
      </c>
      <c r="J21" s="34">
        <f t="shared" si="31"/>
        <v>0</v>
      </c>
      <c r="K21" s="33" t="str">
        <f t="shared" si="32"/>
        <v/>
      </c>
      <c r="L21" s="33" t="str">
        <f t="shared" si="33"/>
        <v/>
      </c>
      <c r="M21" s="33" t="str">
        <f t="shared" si="34"/>
        <v/>
      </c>
      <c r="N21" s="35" t="str">
        <f t="shared" si="35"/>
        <v/>
      </c>
      <c r="O21" s="35" t="str">
        <f t="shared" si="24"/>
        <v/>
      </c>
      <c r="P21" s="35" t="str">
        <f t="shared" si="25"/>
        <v/>
      </c>
      <c r="Q21" s="35">
        <f t="shared" si="36"/>
        <v>1.65</v>
      </c>
      <c r="R21" s="35">
        <f t="shared" si="37"/>
        <v>8.6</v>
      </c>
      <c r="S21" s="33">
        <f t="shared" si="43"/>
        <v>0</v>
      </c>
      <c r="T21" s="33">
        <f t="shared" ref="T21:T23" si="44">IF(C21&gt;0,T20+1,T20)</f>
        <v>0</v>
      </c>
      <c r="U21" s="33" t="str">
        <f t="shared" si="38"/>
        <v/>
      </c>
      <c r="V21" s="33" t="str">
        <f t="shared" si="39"/>
        <v/>
      </c>
      <c r="W21" s="42" t="str">
        <f t="shared" si="40"/>
        <v/>
      </c>
      <c r="X21" s="1" t="str">
        <f>IF(AND(C21&lt;&gt;0,T21&gt;3),"Es dürfen maximal 3 Positionen auf einem Rezept gedruckt werden!","")</f>
        <v/>
      </c>
    </row>
    <row r="22" spans="1:24" x14ac:dyDescent="0.25">
      <c r="A22" s="3">
        <v>17895975</v>
      </c>
      <c r="B22" s="3" t="s">
        <v>55</v>
      </c>
      <c r="C22" s="46"/>
      <c r="D22" s="32">
        <f t="shared" si="26"/>
        <v>0</v>
      </c>
      <c r="E22" s="32">
        <f t="shared" si="42"/>
        <v>0</v>
      </c>
      <c r="F22" s="11" t="str">
        <f t="shared" si="27"/>
        <v/>
      </c>
      <c r="G22" s="33">
        <f t="shared" si="28"/>
        <v>0</v>
      </c>
      <c r="H22" s="33">
        <f t="shared" si="29"/>
        <v>0</v>
      </c>
      <c r="I22" s="33">
        <f t="shared" si="30"/>
        <v>0</v>
      </c>
      <c r="J22" s="34">
        <f t="shared" si="31"/>
        <v>0</v>
      </c>
      <c r="K22" s="33" t="str">
        <f t="shared" si="32"/>
        <v/>
      </c>
      <c r="L22" s="33" t="str">
        <f t="shared" si="33"/>
        <v/>
      </c>
      <c r="M22" s="33" t="str">
        <f t="shared" si="34"/>
        <v/>
      </c>
      <c r="N22" s="35" t="str">
        <f t="shared" si="35"/>
        <v/>
      </c>
      <c r="O22" s="35" t="str">
        <f t="shared" si="24"/>
        <v/>
      </c>
      <c r="P22" s="35" t="str">
        <f t="shared" si="25"/>
        <v/>
      </c>
      <c r="Q22" s="35">
        <f t="shared" si="36"/>
        <v>1.65</v>
      </c>
      <c r="R22" s="35">
        <f t="shared" si="37"/>
        <v>8.6</v>
      </c>
      <c r="S22" s="33">
        <f t="shared" si="43"/>
        <v>0</v>
      </c>
      <c r="T22" s="33">
        <f t="shared" si="44"/>
        <v>0</v>
      </c>
      <c r="U22" s="33" t="str">
        <f t="shared" si="38"/>
        <v/>
      </c>
      <c r="V22" s="33" t="str">
        <f t="shared" si="39"/>
        <v/>
      </c>
      <c r="W22" s="42" t="str">
        <f t="shared" si="40"/>
        <v/>
      </c>
      <c r="X22" s="1" t="str">
        <f t="shared" ref="X22:X23" si="45">IF(AND(C22&lt;&gt;0,T22&gt;3),"Es dürfen maximal 3 Positionen auf einem Rezept gedruckt werden!","")</f>
        <v/>
      </c>
    </row>
    <row r="23" spans="1:24" x14ac:dyDescent="0.25">
      <c r="A23" s="3">
        <v>17899252</v>
      </c>
      <c r="B23" s="3" t="s">
        <v>59</v>
      </c>
      <c r="C23" s="46"/>
      <c r="D23" s="32">
        <f t="shared" si="26"/>
        <v>0</v>
      </c>
      <c r="E23" s="32">
        <f t="shared" si="42"/>
        <v>0</v>
      </c>
      <c r="F23" s="11" t="str">
        <f t="shared" si="27"/>
        <v/>
      </c>
      <c r="G23" s="33">
        <f t="shared" si="28"/>
        <v>0</v>
      </c>
      <c r="H23" s="33">
        <f t="shared" si="29"/>
        <v>0</v>
      </c>
      <c r="I23" s="33">
        <f t="shared" si="30"/>
        <v>0</v>
      </c>
      <c r="J23" s="34">
        <f t="shared" si="31"/>
        <v>0</v>
      </c>
      <c r="K23" s="33" t="str">
        <f t="shared" si="32"/>
        <v/>
      </c>
      <c r="L23" s="33" t="str">
        <f t="shared" si="33"/>
        <v/>
      </c>
      <c r="M23" s="33" t="str">
        <f t="shared" si="34"/>
        <v/>
      </c>
      <c r="N23" s="35" t="str">
        <f t="shared" si="35"/>
        <v/>
      </c>
      <c r="O23" s="35" t="str">
        <f t="shared" si="24"/>
        <v/>
      </c>
      <c r="P23" s="35" t="str">
        <f t="shared" si="25"/>
        <v/>
      </c>
      <c r="Q23" s="35">
        <f t="shared" si="36"/>
        <v>1.65</v>
      </c>
      <c r="R23" s="35">
        <f t="shared" si="37"/>
        <v>8.6</v>
      </c>
      <c r="S23" s="33">
        <f t="shared" si="43"/>
        <v>0</v>
      </c>
      <c r="T23" s="33">
        <f t="shared" si="44"/>
        <v>0</v>
      </c>
      <c r="U23" s="33" t="str">
        <f t="shared" si="38"/>
        <v/>
      </c>
      <c r="V23" s="33" t="str">
        <f t="shared" si="39"/>
        <v/>
      </c>
      <c r="W23" s="42" t="str">
        <f t="shared" si="40"/>
        <v/>
      </c>
      <c r="X23" s="1" t="str">
        <f t="shared" si="45"/>
        <v/>
      </c>
    </row>
    <row r="24" spans="1:24" x14ac:dyDescent="0.25">
      <c r="A24" s="3"/>
      <c r="B24" s="2" t="s">
        <v>7</v>
      </c>
      <c r="C24" s="8">
        <f>SUM(C18:C23)</f>
        <v>0</v>
      </c>
      <c r="D24" s="32"/>
      <c r="E24" s="32"/>
      <c r="F24" s="11">
        <f>SUM(F18:F23)</f>
        <v>0</v>
      </c>
      <c r="X24" s="1"/>
    </row>
    <row r="25" spans="1:24" x14ac:dyDescent="0.25">
      <c r="A25" s="1"/>
      <c r="B25" s="1"/>
      <c r="C25" s="7"/>
      <c r="F25" s="7"/>
      <c r="X25" s="1"/>
    </row>
    <row r="26" spans="1:24" ht="15.75" x14ac:dyDescent="0.25">
      <c r="A26" s="49" t="s">
        <v>25</v>
      </c>
      <c r="B26" s="49"/>
      <c r="C26" s="6" t="s">
        <v>17</v>
      </c>
      <c r="D26" s="29"/>
      <c r="E26" s="30"/>
      <c r="F26" s="47"/>
      <c r="X26" s="1" t="str">
        <f>IF(F26&lt;$K$3, "Eine Belieferung der Ärzte kann erst ab dem 31.05.2021 erfolgen", "")</f>
        <v>Eine Belieferung der Ärzte kann erst ab dem 31.05.2021 erfolgen</v>
      </c>
    </row>
    <row r="27" spans="1:24" s="10" customFormat="1" x14ac:dyDescent="0.25">
      <c r="A27" s="2" t="s">
        <v>0</v>
      </c>
      <c r="B27" s="2" t="s">
        <v>6</v>
      </c>
      <c r="C27" s="2" t="s">
        <v>1</v>
      </c>
      <c r="D27" s="31" t="s">
        <v>43</v>
      </c>
      <c r="E27" s="31" t="s">
        <v>44</v>
      </c>
      <c r="F27" s="2" t="s">
        <v>2</v>
      </c>
      <c r="G27" s="41"/>
      <c r="H27" s="41"/>
      <c r="I27" s="41"/>
      <c r="J27" s="41"/>
      <c r="K27" s="41"/>
      <c r="L27" s="41"/>
      <c r="M27" s="41"/>
      <c r="N27" s="43"/>
      <c r="O27" s="43"/>
      <c r="P27" s="43"/>
      <c r="Q27" s="43"/>
      <c r="R27" s="43"/>
      <c r="S27" s="41"/>
      <c r="T27" s="41"/>
      <c r="U27" s="41"/>
      <c r="V27" s="41"/>
      <c r="W27" s="41"/>
      <c r="X27" s="44"/>
    </row>
    <row r="28" spans="1:24" x14ac:dyDescent="0.25">
      <c r="A28" s="3">
        <v>17377625</v>
      </c>
      <c r="B28" s="3" t="s">
        <v>3</v>
      </c>
      <c r="C28" s="46"/>
      <c r="D28" s="32">
        <f>ROUND(C28,0)</f>
        <v>0</v>
      </c>
      <c r="E28" s="32">
        <f>E23+C28</f>
        <v>0</v>
      </c>
      <c r="F28" s="11" t="str">
        <f>IF(AND(C28&gt;0,X28="",J28&gt;=$K$3), N28+O28+P28, "")</f>
        <v/>
      </c>
      <c r="G28" s="33">
        <f>IF(E28&lt;100,C28,IF(E28-C28&gt;100,0,MIN(100-(E28-C28))))</f>
        <v>0</v>
      </c>
      <c r="H28" s="33">
        <f>IF(E28&lt;=100,0,IF(E28-C28&gt;150,0,MIN(150,E28)-MAX(100,E28-C28)))</f>
        <v>0</v>
      </c>
      <c r="I28" s="33">
        <f>IF(E28&lt;=150,0,E28-MAX(150,E28-C28))</f>
        <v>0</v>
      </c>
      <c r="J28" s="34">
        <f>F$26</f>
        <v>0</v>
      </c>
      <c r="K28" s="33" t="str">
        <f>IF($J28&lt;$K$3, "", IF($J28&lt;$K$2,6.58,7.58))</f>
        <v/>
      </c>
      <c r="L28" s="33" t="str">
        <f>IF($J28&lt;$K$3, "", IF($J28&lt;$K$2,4.28,4.92))</f>
        <v/>
      </c>
      <c r="M28" s="33" t="str">
        <f>IF($J28&lt;$K$3, "", IF($J28&lt;$K$2,2.19,2.52))</f>
        <v/>
      </c>
      <c r="N28" s="35" t="str">
        <f>IF($J28&lt;$K$3, "",G28*ROUND((K28+$Q28+$R28)*1.19,2))</f>
        <v/>
      </c>
      <c r="O28" s="35" t="str">
        <f t="shared" ref="O28:O33" si="46">IF($J28&lt;$K$3, "",H28*ROUND((L28+$Q28+$R28)*1.19,2))</f>
        <v/>
      </c>
      <c r="P28" s="35" t="str">
        <f t="shared" ref="P28:P33" si="47">IF($J28&lt;$K$3, "",I28*ROUND((M28+$Q28+$R28)*1.19,2))</f>
        <v/>
      </c>
      <c r="Q28" s="35">
        <f>IF(J28&lt;$K$4,1.65,IF(J28&lt;$K$5,1.4,3.72))</f>
        <v>1.65</v>
      </c>
      <c r="R28" s="35">
        <f>IF(J28&lt;$K$1,8.6,7.45)</f>
        <v>8.6</v>
      </c>
      <c r="S28" s="33">
        <f>IF(C28&gt;0,1,0)</f>
        <v>0</v>
      </c>
      <c r="T28" s="33">
        <f>S28</f>
        <v>0</v>
      </c>
      <c r="U28" s="33" t="str">
        <f>IF(S28&gt;0,A28,"")</f>
        <v/>
      </c>
      <c r="V28" s="33" t="str">
        <f>IF(S28&gt;0,C28,"")</f>
        <v/>
      </c>
      <c r="W28" s="42" t="str">
        <f>IF(S28&gt;0,F28,"")</f>
        <v/>
      </c>
      <c r="X28" s="1" t="str">
        <f>IF(AND(C28&lt;&gt;0,T28&gt;3),"Es dürfen maximal 3 Positionen auf einem Rezept gedruckt werden!","")</f>
        <v/>
      </c>
    </row>
    <row r="29" spans="1:24" x14ac:dyDescent="0.25">
      <c r="A29" s="3">
        <v>17377588</v>
      </c>
      <c r="B29" s="3" t="s">
        <v>4</v>
      </c>
      <c r="C29" s="46"/>
      <c r="D29" s="32">
        <f t="shared" ref="D29:D33" si="48">ROUND(C29,0)</f>
        <v>0</v>
      </c>
      <c r="E29" s="32">
        <f>E28+C29</f>
        <v>0</v>
      </c>
      <c r="F29" s="11" t="str">
        <f t="shared" ref="F29:F33" si="49">IF(AND(C29&gt;0,X29="",J29&gt;=$K$3), N29+O29+P29, "")</f>
        <v/>
      </c>
      <c r="G29" s="33">
        <f t="shared" ref="G29:G33" si="50">IF(E29&lt;100,C29,IF(E29-C29&gt;100,0,MIN(100-(E29-C29))))</f>
        <v>0</v>
      </c>
      <c r="H29" s="33">
        <f t="shared" ref="H29:H33" si="51">IF(E29&lt;=100,0,IF(E29-C29&gt;150,0,MIN(150,E29)-MAX(100,E29-C29)))</f>
        <v>0</v>
      </c>
      <c r="I29" s="33">
        <f t="shared" ref="I29:I33" si="52">IF(E29&lt;=150,0,E29-MAX(150,E29-C29))</f>
        <v>0</v>
      </c>
      <c r="J29" s="34">
        <f t="shared" ref="J29:J33" si="53">F$26</f>
        <v>0</v>
      </c>
      <c r="K29" s="33" t="str">
        <f t="shared" ref="K29:K33" si="54">IF($J29&lt;$K$3, "", IF($J29&lt;$K$2,6.58,7.58))</f>
        <v/>
      </c>
      <c r="L29" s="33" t="str">
        <f t="shared" ref="L29:L33" si="55">IF($J29&lt;$K$3, "", IF($J29&lt;$K$2,4.28,4.92))</f>
        <v/>
      </c>
      <c r="M29" s="33" t="str">
        <f t="shared" ref="M29:M33" si="56">IF($J29&lt;$K$3, "", IF($J29&lt;$K$2,2.19,2.52))</f>
        <v/>
      </c>
      <c r="N29" s="35" t="str">
        <f t="shared" ref="N29:N33" si="57">IF($J29&lt;$K$3, "",G29*ROUND((K29+$Q29+$R29)*1.19,2))</f>
        <v/>
      </c>
      <c r="O29" s="35" t="str">
        <f t="shared" si="46"/>
        <v/>
      </c>
      <c r="P29" s="35" t="str">
        <f t="shared" si="47"/>
        <v/>
      </c>
      <c r="Q29" s="35">
        <f t="shared" ref="Q29:Q33" si="58">IF(J29&lt;$K$4,1.65,IF(J29&lt;$K$5,1.4,3.72))</f>
        <v>1.65</v>
      </c>
      <c r="R29" s="35">
        <f t="shared" ref="R29:R33" si="59">IF(J29&lt;$K$1,8.6,7.45)</f>
        <v>8.6</v>
      </c>
      <c r="S29" s="33">
        <f>IF(C29&gt;0,T28+1,0)</f>
        <v>0</v>
      </c>
      <c r="T29" s="33">
        <f>IF(C29&gt;0,T28+1,T28)</f>
        <v>0</v>
      </c>
      <c r="U29" s="33" t="str">
        <f t="shared" ref="U29:U33" si="60">IF(S29&gt;0,A29,"")</f>
        <v/>
      </c>
      <c r="V29" s="33" t="str">
        <f t="shared" ref="V29:V33" si="61">IF(S29&gt;0,C29,"")</f>
        <v/>
      </c>
      <c r="W29" s="42" t="str">
        <f t="shared" ref="W29:W33" si="62">IF(S29&gt;0,F29,"")</f>
        <v/>
      </c>
      <c r="X29" s="1" t="str">
        <f t="shared" ref="X29:X30" si="63">IF(AND(C29&lt;&gt;0,T29&gt;3),"Es dürfen maximal 3 Positionen auf einem Rezept gedruckt werden!","")</f>
        <v/>
      </c>
    </row>
    <row r="30" spans="1:24" x14ac:dyDescent="0.25">
      <c r="A30" s="3">
        <v>17377602</v>
      </c>
      <c r="B30" s="3" t="s">
        <v>51</v>
      </c>
      <c r="C30" s="46"/>
      <c r="D30" s="32">
        <f t="shared" si="48"/>
        <v>0</v>
      </c>
      <c r="E30" s="32">
        <f t="shared" ref="E30:E32" si="64">E29+C30</f>
        <v>0</v>
      </c>
      <c r="F30" s="11" t="str">
        <f t="shared" si="49"/>
        <v/>
      </c>
      <c r="G30" s="33">
        <f t="shared" si="50"/>
        <v>0</v>
      </c>
      <c r="H30" s="33">
        <f t="shared" si="51"/>
        <v>0</v>
      </c>
      <c r="I30" s="33">
        <f t="shared" si="52"/>
        <v>0</v>
      </c>
      <c r="J30" s="34">
        <f t="shared" si="53"/>
        <v>0</v>
      </c>
      <c r="K30" s="33" t="str">
        <f t="shared" si="54"/>
        <v/>
      </c>
      <c r="L30" s="33" t="str">
        <f t="shared" si="55"/>
        <v/>
      </c>
      <c r="M30" s="33" t="str">
        <f t="shared" si="56"/>
        <v/>
      </c>
      <c r="N30" s="35" t="str">
        <f t="shared" si="57"/>
        <v/>
      </c>
      <c r="O30" s="35" t="str">
        <f t="shared" si="46"/>
        <v/>
      </c>
      <c r="P30" s="35" t="str">
        <f t="shared" si="47"/>
        <v/>
      </c>
      <c r="Q30" s="35">
        <f>IF(J30&lt;$K$4,1.65,IF(J30&lt;$K$5,2.8,3.72))</f>
        <v>1.65</v>
      </c>
      <c r="R30" s="35">
        <f t="shared" si="59"/>
        <v>8.6</v>
      </c>
      <c r="S30" s="33">
        <f t="shared" ref="S30:S33" si="65">IF(C30&gt;0,T29+1,0)</f>
        <v>0</v>
      </c>
      <c r="T30" s="33">
        <f>IF(C30&gt;0,T29+1,T29)</f>
        <v>0</v>
      </c>
      <c r="U30" s="33" t="str">
        <f t="shared" si="60"/>
        <v/>
      </c>
      <c r="V30" s="33" t="str">
        <f t="shared" si="61"/>
        <v/>
      </c>
      <c r="W30" s="42" t="str">
        <f t="shared" si="62"/>
        <v/>
      </c>
      <c r="X30" s="1" t="str">
        <f t="shared" si="63"/>
        <v/>
      </c>
    </row>
    <row r="31" spans="1:24" x14ac:dyDescent="0.25">
      <c r="A31" s="3">
        <v>17377648</v>
      </c>
      <c r="B31" s="3" t="s">
        <v>5</v>
      </c>
      <c r="C31" s="46"/>
      <c r="D31" s="32">
        <f t="shared" si="48"/>
        <v>0</v>
      </c>
      <c r="E31" s="32">
        <f t="shared" si="64"/>
        <v>0</v>
      </c>
      <c r="F31" s="11" t="str">
        <f t="shared" si="49"/>
        <v/>
      </c>
      <c r="G31" s="33">
        <f t="shared" si="50"/>
        <v>0</v>
      </c>
      <c r="H31" s="33">
        <f t="shared" si="51"/>
        <v>0</v>
      </c>
      <c r="I31" s="33">
        <f t="shared" si="52"/>
        <v>0</v>
      </c>
      <c r="J31" s="34">
        <f t="shared" si="53"/>
        <v>0</v>
      </c>
      <c r="K31" s="33" t="str">
        <f t="shared" si="54"/>
        <v/>
      </c>
      <c r="L31" s="33" t="str">
        <f t="shared" si="55"/>
        <v/>
      </c>
      <c r="M31" s="33" t="str">
        <f t="shared" si="56"/>
        <v/>
      </c>
      <c r="N31" s="35" t="str">
        <f t="shared" si="57"/>
        <v/>
      </c>
      <c r="O31" s="35" t="str">
        <f t="shared" si="46"/>
        <v/>
      </c>
      <c r="P31" s="35" t="str">
        <f t="shared" si="47"/>
        <v/>
      </c>
      <c r="Q31" s="35">
        <f t="shared" si="58"/>
        <v>1.65</v>
      </c>
      <c r="R31" s="35">
        <f t="shared" si="59"/>
        <v>8.6</v>
      </c>
      <c r="S31" s="33">
        <f t="shared" si="65"/>
        <v>0</v>
      </c>
      <c r="T31" s="33">
        <f t="shared" ref="T31:T33" si="66">IF(C31&gt;0,T30+1,T30)</f>
        <v>0</v>
      </c>
      <c r="U31" s="33" t="str">
        <f t="shared" si="60"/>
        <v/>
      </c>
      <c r="V31" s="33" t="str">
        <f t="shared" si="61"/>
        <v/>
      </c>
      <c r="W31" s="42" t="str">
        <f t="shared" si="62"/>
        <v/>
      </c>
      <c r="X31" s="1" t="str">
        <f>IF(AND(C31&lt;&gt;0,T31&gt;3),"Es dürfen maximal 3 Positionen auf einem Rezept gedruckt werden!","")</f>
        <v/>
      </c>
    </row>
    <row r="32" spans="1:24" x14ac:dyDescent="0.25">
      <c r="A32" s="3">
        <v>17895975</v>
      </c>
      <c r="B32" s="3" t="s">
        <v>55</v>
      </c>
      <c r="C32" s="46"/>
      <c r="D32" s="32">
        <f t="shared" si="48"/>
        <v>0</v>
      </c>
      <c r="E32" s="32">
        <f t="shared" si="64"/>
        <v>0</v>
      </c>
      <c r="F32" s="11" t="str">
        <f t="shared" si="49"/>
        <v/>
      </c>
      <c r="G32" s="33">
        <f t="shared" si="50"/>
        <v>0</v>
      </c>
      <c r="H32" s="33">
        <f t="shared" si="51"/>
        <v>0</v>
      </c>
      <c r="I32" s="33">
        <f t="shared" si="52"/>
        <v>0</v>
      </c>
      <c r="J32" s="34">
        <f t="shared" si="53"/>
        <v>0</v>
      </c>
      <c r="K32" s="33" t="str">
        <f t="shared" si="54"/>
        <v/>
      </c>
      <c r="L32" s="33" t="str">
        <f t="shared" si="55"/>
        <v/>
      </c>
      <c r="M32" s="33" t="str">
        <f t="shared" si="56"/>
        <v/>
      </c>
      <c r="N32" s="35" t="str">
        <f t="shared" si="57"/>
        <v/>
      </c>
      <c r="O32" s="35" t="str">
        <f t="shared" si="46"/>
        <v/>
      </c>
      <c r="P32" s="35" t="str">
        <f t="shared" si="47"/>
        <v/>
      </c>
      <c r="Q32" s="35">
        <f t="shared" si="58"/>
        <v>1.65</v>
      </c>
      <c r="R32" s="35">
        <f t="shared" si="59"/>
        <v>8.6</v>
      </c>
      <c r="S32" s="33">
        <f t="shared" si="65"/>
        <v>0</v>
      </c>
      <c r="T32" s="33">
        <f t="shared" si="66"/>
        <v>0</v>
      </c>
      <c r="U32" s="33" t="str">
        <f t="shared" si="60"/>
        <v/>
      </c>
      <c r="V32" s="33" t="str">
        <f t="shared" si="61"/>
        <v/>
      </c>
      <c r="W32" s="42" t="str">
        <f t="shared" si="62"/>
        <v/>
      </c>
      <c r="X32" s="1" t="str">
        <f t="shared" ref="X32:X33" si="67">IF(AND(C32&lt;&gt;0,T32&gt;3),"Es dürfen maximal 3 Positionen auf einem Rezept gedruckt werden!","")</f>
        <v/>
      </c>
    </row>
    <row r="33" spans="1:24" x14ac:dyDescent="0.25">
      <c r="A33" s="3">
        <v>17899252</v>
      </c>
      <c r="B33" s="3" t="s">
        <v>59</v>
      </c>
      <c r="C33" s="46"/>
      <c r="D33" s="32">
        <f t="shared" si="48"/>
        <v>0</v>
      </c>
      <c r="E33" s="32">
        <f>E32+C33</f>
        <v>0</v>
      </c>
      <c r="F33" s="11" t="str">
        <f t="shared" si="49"/>
        <v/>
      </c>
      <c r="G33" s="33">
        <f t="shared" si="50"/>
        <v>0</v>
      </c>
      <c r="H33" s="33">
        <f t="shared" si="51"/>
        <v>0</v>
      </c>
      <c r="I33" s="33">
        <f t="shared" si="52"/>
        <v>0</v>
      </c>
      <c r="J33" s="34">
        <f t="shared" si="53"/>
        <v>0</v>
      </c>
      <c r="K33" s="33" t="str">
        <f t="shared" si="54"/>
        <v/>
      </c>
      <c r="L33" s="33" t="str">
        <f t="shared" si="55"/>
        <v/>
      </c>
      <c r="M33" s="33" t="str">
        <f t="shared" si="56"/>
        <v/>
      </c>
      <c r="N33" s="35" t="str">
        <f t="shared" si="57"/>
        <v/>
      </c>
      <c r="O33" s="35" t="str">
        <f t="shared" si="46"/>
        <v/>
      </c>
      <c r="P33" s="35" t="str">
        <f t="shared" si="47"/>
        <v/>
      </c>
      <c r="Q33" s="35">
        <f t="shared" si="58"/>
        <v>1.65</v>
      </c>
      <c r="R33" s="35">
        <f t="shared" si="59"/>
        <v>8.6</v>
      </c>
      <c r="S33" s="33">
        <f t="shared" si="65"/>
        <v>0</v>
      </c>
      <c r="T33" s="33">
        <f t="shared" si="66"/>
        <v>0</v>
      </c>
      <c r="U33" s="33" t="str">
        <f t="shared" si="60"/>
        <v/>
      </c>
      <c r="V33" s="33" t="str">
        <f t="shared" si="61"/>
        <v/>
      </c>
      <c r="W33" s="42" t="str">
        <f t="shared" si="62"/>
        <v/>
      </c>
      <c r="X33" s="1" t="str">
        <f t="shared" si="67"/>
        <v/>
      </c>
    </row>
    <row r="34" spans="1:24" x14ac:dyDescent="0.25">
      <c r="A34" s="3"/>
      <c r="B34" s="2" t="s">
        <v>7</v>
      </c>
      <c r="C34" s="8">
        <f>SUM(C28:C33)</f>
        <v>0</v>
      </c>
      <c r="D34" s="32"/>
      <c r="E34" s="32"/>
      <c r="F34" s="11">
        <f>SUM(F28:F33)</f>
        <v>0</v>
      </c>
      <c r="X34" s="1"/>
    </row>
    <row r="35" spans="1:24" x14ac:dyDescent="0.25">
      <c r="A35" s="1"/>
      <c r="B35" s="1"/>
      <c r="C35" s="7"/>
      <c r="F35" s="7"/>
      <c r="X35" s="1"/>
    </row>
    <row r="36" spans="1:24" ht="15.75" x14ac:dyDescent="0.25">
      <c r="A36" s="49" t="s">
        <v>26</v>
      </c>
      <c r="B36" s="49"/>
      <c r="C36" s="6" t="s">
        <v>17</v>
      </c>
      <c r="D36" s="29"/>
      <c r="E36" s="30"/>
      <c r="F36" s="47"/>
      <c r="X36" s="1" t="str">
        <f>IF(F36&lt;$K$3, "Eine Belieferung der Ärzte kann erst ab dem 31.05.2021 erfolgen", "")</f>
        <v>Eine Belieferung der Ärzte kann erst ab dem 31.05.2021 erfolgen</v>
      </c>
    </row>
    <row r="37" spans="1:24" s="10" customFormat="1" x14ac:dyDescent="0.25">
      <c r="A37" s="2" t="s">
        <v>0</v>
      </c>
      <c r="B37" s="2" t="s">
        <v>6</v>
      </c>
      <c r="C37" s="2" t="s">
        <v>1</v>
      </c>
      <c r="D37" s="31" t="s">
        <v>43</v>
      </c>
      <c r="E37" s="31" t="s">
        <v>44</v>
      </c>
      <c r="F37" s="2" t="s">
        <v>2</v>
      </c>
      <c r="G37" s="41"/>
      <c r="H37" s="41"/>
      <c r="I37" s="41"/>
      <c r="J37" s="41"/>
      <c r="K37" s="41"/>
      <c r="L37" s="41"/>
      <c r="M37" s="41"/>
      <c r="N37" s="43"/>
      <c r="O37" s="43"/>
      <c r="P37" s="43"/>
      <c r="Q37" s="43"/>
      <c r="R37" s="43"/>
      <c r="S37" s="41"/>
      <c r="T37" s="41"/>
      <c r="U37" s="41"/>
      <c r="V37" s="41"/>
      <c r="W37" s="41"/>
      <c r="X37" s="44"/>
    </row>
    <row r="38" spans="1:24" x14ac:dyDescent="0.25">
      <c r="A38" s="3">
        <v>17377625</v>
      </c>
      <c r="B38" s="3" t="s">
        <v>3</v>
      </c>
      <c r="C38" s="46"/>
      <c r="D38" s="32">
        <f>ROUND(C38,0)</f>
        <v>0</v>
      </c>
      <c r="E38" s="32">
        <f>E33+C38</f>
        <v>0</v>
      </c>
      <c r="F38" s="11" t="str">
        <f>IF(AND(C38&gt;0,X38="",J38&gt;=$K$3), N38+O38+P38, "")</f>
        <v/>
      </c>
      <c r="G38" s="33">
        <f>IF(E38&lt;100,C38,IF(E38-C38&gt;100,0,MIN(100-(E38-C38))))</f>
        <v>0</v>
      </c>
      <c r="H38" s="33">
        <f>IF(E38&lt;=100,0,IF(E38-C38&gt;150,0,MIN(150,E38)-MAX(100,E38-C38)))</f>
        <v>0</v>
      </c>
      <c r="I38" s="33">
        <f>IF(E38&lt;=150,0,E38-MAX(150,E38-C38))</f>
        <v>0</v>
      </c>
      <c r="J38" s="34">
        <f>F$36</f>
        <v>0</v>
      </c>
      <c r="K38" s="33" t="str">
        <f>IF($J38&lt;$K$3, "", IF($J38&lt;$K$2,6.58,7.58))</f>
        <v/>
      </c>
      <c r="L38" s="33" t="str">
        <f>IF($J38&lt;$K$3, "", IF($J38&lt;$K$2,4.28,4.92))</f>
        <v/>
      </c>
      <c r="M38" s="33" t="str">
        <f>IF($J38&lt;$K$3, "", IF($J38&lt;$K$2,2.19,2.52))</f>
        <v/>
      </c>
      <c r="N38" s="35" t="str">
        <f>IF($J38&lt;$K$3, "",G38*ROUND((K38+$Q38+$R38)*1.19,2))</f>
        <v/>
      </c>
      <c r="O38" s="35" t="str">
        <f t="shared" ref="O38:O43" si="68">IF($J38&lt;$K$3, "",H38*ROUND((L38+$Q38+$R38)*1.19,2))</f>
        <v/>
      </c>
      <c r="P38" s="35" t="str">
        <f t="shared" ref="P38:P43" si="69">IF($J38&lt;$K$3, "",I38*ROUND((M38+$Q38+$R38)*1.19,2))</f>
        <v/>
      </c>
      <c r="Q38" s="35">
        <f>IF(J38&lt;$K$4,1.65,IF(J38&lt;$K$5,1.4,3.72))</f>
        <v>1.65</v>
      </c>
      <c r="R38" s="35">
        <f>IF(J38&lt;$K$1,8.6,7.45)</f>
        <v>8.6</v>
      </c>
      <c r="S38" s="33">
        <f>IF(C38&gt;0,1,0)</f>
        <v>0</v>
      </c>
      <c r="T38" s="33">
        <f>S38</f>
        <v>0</v>
      </c>
      <c r="U38" s="33" t="str">
        <f>IF(S38&gt;0,A38,"")</f>
        <v/>
      </c>
      <c r="V38" s="33" t="str">
        <f>IF(S38&gt;0,C38,"")</f>
        <v/>
      </c>
      <c r="W38" s="42" t="str">
        <f>IF(S38&gt;0,F38,"")</f>
        <v/>
      </c>
      <c r="X38" s="1" t="str">
        <f>IF(AND(C38&lt;&gt;0,T38&gt;3),"Es dürfen maximal 3 Positionen auf einem Rezept gedruckt werden!","")</f>
        <v/>
      </c>
    </row>
    <row r="39" spans="1:24" x14ac:dyDescent="0.25">
      <c r="A39" s="3">
        <v>17377588</v>
      </c>
      <c r="B39" s="3" t="s">
        <v>4</v>
      </c>
      <c r="C39" s="46"/>
      <c r="D39" s="32">
        <f t="shared" ref="D39:D43" si="70">ROUND(C39,0)</f>
        <v>0</v>
      </c>
      <c r="E39" s="32">
        <f>E38+C39</f>
        <v>0</v>
      </c>
      <c r="F39" s="11" t="str">
        <f t="shared" ref="F39:F43" si="71">IF(AND(C39&gt;0,X39="",J39&gt;=$K$3), N39+O39+P39, "")</f>
        <v/>
      </c>
      <c r="G39" s="33">
        <f t="shared" ref="G39:G43" si="72">IF(E39&lt;100,C39,IF(E39-C39&gt;100,0,MIN(100-(E39-C39))))</f>
        <v>0</v>
      </c>
      <c r="H39" s="33">
        <f t="shared" ref="H39:H43" si="73">IF(E39&lt;=100,0,IF(E39-C39&gt;150,0,MIN(150,E39)-MAX(100,E39-C39)))</f>
        <v>0</v>
      </c>
      <c r="I39" s="33">
        <f t="shared" ref="I39:I43" si="74">IF(E39&lt;=150,0,E39-MAX(150,E39-C39))</f>
        <v>0</v>
      </c>
      <c r="J39" s="34">
        <f t="shared" ref="J39:J43" si="75">F$36</f>
        <v>0</v>
      </c>
      <c r="K39" s="33" t="str">
        <f t="shared" ref="K39:K43" si="76">IF($J39&lt;$K$3, "", IF($J39&lt;$K$2,6.58,7.58))</f>
        <v/>
      </c>
      <c r="L39" s="33" t="str">
        <f t="shared" ref="L39:L43" si="77">IF($J39&lt;$K$3, "", IF($J39&lt;$K$2,4.28,4.92))</f>
        <v/>
      </c>
      <c r="M39" s="33" t="str">
        <f t="shared" ref="M39:M43" si="78">IF($J39&lt;$K$3, "", IF($J39&lt;$K$2,2.19,2.52))</f>
        <v/>
      </c>
      <c r="N39" s="35" t="str">
        <f t="shared" ref="N39:N43" si="79">IF($J39&lt;$K$3, "",G39*ROUND((K39+$Q39+$R39)*1.19,2))</f>
        <v/>
      </c>
      <c r="O39" s="35" t="str">
        <f t="shared" si="68"/>
        <v/>
      </c>
      <c r="P39" s="35" t="str">
        <f t="shared" si="69"/>
        <v/>
      </c>
      <c r="Q39" s="35">
        <f t="shared" ref="Q39:Q41" si="80">IF(J39&lt;$K$4,1.65,IF(J39&lt;$K$5,1.4,3.72))</f>
        <v>1.65</v>
      </c>
      <c r="R39" s="35">
        <f t="shared" ref="R39:R43" si="81">IF(J39&lt;$K$1,8.6,7.45)</f>
        <v>8.6</v>
      </c>
      <c r="S39" s="33">
        <f>IF(C39&gt;0,T38+1,0)</f>
        <v>0</v>
      </c>
      <c r="T39" s="33">
        <f>IF(C39&gt;0,T38+1,T38)</f>
        <v>0</v>
      </c>
      <c r="U39" s="33" t="str">
        <f t="shared" ref="U39:U43" si="82">IF(S39&gt;0,A39,"")</f>
        <v/>
      </c>
      <c r="V39" s="33" t="str">
        <f t="shared" ref="V39:V43" si="83">IF(S39&gt;0,C39,"")</f>
        <v/>
      </c>
      <c r="W39" s="42" t="str">
        <f t="shared" ref="W39:W43" si="84">IF(S39&gt;0,F39,"")</f>
        <v/>
      </c>
      <c r="X39" s="1" t="str">
        <f t="shared" ref="X39:X40" si="85">IF(AND(C39&lt;&gt;0,T39&gt;3),"Es dürfen maximal 3 Positionen auf einem Rezept gedruckt werden!","")</f>
        <v/>
      </c>
    </row>
    <row r="40" spans="1:24" x14ac:dyDescent="0.25">
      <c r="A40" s="3">
        <v>17377602</v>
      </c>
      <c r="B40" s="3" t="s">
        <v>51</v>
      </c>
      <c r="C40" s="46"/>
      <c r="D40" s="32">
        <f t="shared" si="70"/>
        <v>0</v>
      </c>
      <c r="E40" s="32">
        <f t="shared" ref="E40:E43" si="86">E39+C40</f>
        <v>0</v>
      </c>
      <c r="F40" s="11" t="str">
        <f t="shared" si="71"/>
        <v/>
      </c>
      <c r="G40" s="33">
        <f t="shared" si="72"/>
        <v>0</v>
      </c>
      <c r="H40" s="33">
        <f t="shared" si="73"/>
        <v>0</v>
      </c>
      <c r="I40" s="33">
        <f t="shared" si="74"/>
        <v>0</v>
      </c>
      <c r="J40" s="34">
        <f t="shared" si="75"/>
        <v>0</v>
      </c>
      <c r="K40" s="33" t="str">
        <f t="shared" si="76"/>
        <v/>
      </c>
      <c r="L40" s="33" t="str">
        <f t="shared" si="77"/>
        <v/>
      </c>
      <c r="M40" s="33" t="str">
        <f t="shared" si="78"/>
        <v/>
      </c>
      <c r="N40" s="35" t="str">
        <f t="shared" si="79"/>
        <v/>
      </c>
      <c r="O40" s="35" t="str">
        <f t="shared" si="68"/>
        <v/>
      </c>
      <c r="P40" s="35" t="str">
        <f t="shared" si="69"/>
        <v/>
      </c>
      <c r="Q40" s="35">
        <f>IF(J40&lt;$K$4,1.65,IF(J40&lt;$K$5,2.8,3.72))</f>
        <v>1.65</v>
      </c>
      <c r="R40" s="35">
        <f t="shared" si="81"/>
        <v>8.6</v>
      </c>
      <c r="S40" s="33">
        <f t="shared" ref="S40:S43" si="87">IF(C40&gt;0,T39+1,0)</f>
        <v>0</v>
      </c>
      <c r="T40" s="33">
        <f>IF(C40&gt;0,T39+1,T39)</f>
        <v>0</v>
      </c>
      <c r="U40" s="33" t="str">
        <f t="shared" si="82"/>
        <v/>
      </c>
      <c r="V40" s="33" t="str">
        <f t="shared" si="83"/>
        <v/>
      </c>
      <c r="W40" s="42" t="str">
        <f t="shared" si="84"/>
        <v/>
      </c>
      <c r="X40" s="1" t="str">
        <f t="shared" si="85"/>
        <v/>
      </c>
    </row>
    <row r="41" spans="1:24" x14ac:dyDescent="0.25">
      <c r="A41" s="3">
        <v>17377648</v>
      </c>
      <c r="B41" s="3" t="s">
        <v>5</v>
      </c>
      <c r="C41" s="46"/>
      <c r="D41" s="32">
        <f t="shared" si="70"/>
        <v>0</v>
      </c>
      <c r="E41" s="32">
        <f t="shared" si="86"/>
        <v>0</v>
      </c>
      <c r="F41" s="11" t="str">
        <f t="shared" si="71"/>
        <v/>
      </c>
      <c r="G41" s="33">
        <f t="shared" si="72"/>
        <v>0</v>
      </c>
      <c r="H41" s="33">
        <f t="shared" si="73"/>
        <v>0</v>
      </c>
      <c r="I41" s="33">
        <f t="shared" si="74"/>
        <v>0</v>
      </c>
      <c r="J41" s="34">
        <f t="shared" si="75"/>
        <v>0</v>
      </c>
      <c r="K41" s="33" t="str">
        <f t="shared" si="76"/>
        <v/>
      </c>
      <c r="L41" s="33" t="str">
        <f t="shared" si="77"/>
        <v/>
      </c>
      <c r="M41" s="33" t="str">
        <f t="shared" si="78"/>
        <v/>
      </c>
      <c r="N41" s="35" t="str">
        <f t="shared" si="79"/>
        <v/>
      </c>
      <c r="O41" s="35" t="str">
        <f t="shared" si="68"/>
        <v/>
      </c>
      <c r="P41" s="35" t="str">
        <f t="shared" si="69"/>
        <v/>
      </c>
      <c r="Q41" s="35">
        <f t="shared" si="80"/>
        <v>1.65</v>
      </c>
      <c r="R41" s="35">
        <f t="shared" si="81"/>
        <v>8.6</v>
      </c>
      <c r="S41" s="33">
        <f t="shared" si="87"/>
        <v>0</v>
      </c>
      <c r="T41" s="33">
        <f t="shared" ref="T41:T43" si="88">IF(C41&gt;0,T40+1,T40)</f>
        <v>0</v>
      </c>
      <c r="U41" s="33" t="str">
        <f t="shared" si="82"/>
        <v/>
      </c>
      <c r="V41" s="33" t="str">
        <f t="shared" si="83"/>
        <v/>
      </c>
      <c r="W41" s="42" t="str">
        <f t="shared" si="84"/>
        <v/>
      </c>
      <c r="X41" s="1" t="str">
        <f>IF(AND(C41&lt;&gt;0,T41&gt;3),"Es dürfen maximal 3 Positionen auf einem Rezept gedruckt werden!","")</f>
        <v/>
      </c>
    </row>
    <row r="42" spans="1:24" x14ac:dyDescent="0.25">
      <c r="A42" s="3">
        <v>17895975</v>
      </c>
      <c r="B42" s="3" t="s">
        <v>55</v>
      </c>
      <c r="C42" s="46"/>
      <c r="D42" s="32">
        <f t="shared" si="70"/>
        <v>0</v>
      </c>
      <c r="E42" s="32">
        <f t="shared" si="86"/>
        <v>0</v>
      </c>
      <c r="F42" s="11" t="str">
        <f t="shared" si="71"/>
        <v/>
      </c>
      <c r="G42" s="33">
        <f t="shared" si="72"/>
        <v>0</v>
      </c>
      <c r="H42" s="33">
        <f t="shared" si="73"/>
        <v>0</v>
      </c>
      <c r="I42" s="33">
        <f t="shared" si="74"/>
        <v>0</v>
      </c>
      <c r="J42" s="34">
        <f t="shared" si="75"/>
        <v>0</v>
      </c>
      <c r="K42" s="33" t="str">
        <f t="shared" si="76"/>
        <v/>
      </c>
      <c r="L42" s="33" t="str">
        <f t="shared" si="77"/>
        <v/>
      </c>
      <c r="M42" s="33" t="str">
        <f t="shared" si="78"/>
        <v/>
      </c>
      <c r="N42" s="35" t="str">
        <f t="shared" si="79"/>
        <v/>
      </c>
      <c r="O42" s="35" t="str">
        <f t="shared" si="68"/>
        <v/>
      </c>
      <c r="P42" s="35" t="str">
        <f t="shared" si="69"/>
        <v/>
      </c>
      <c r="Q42" s="35">
        <f t="shared" ref="Q42:Q43" si="89">IF(J42&lt;$K$4,1.65,IF(J42&lt;$K$5,1.4,3.72))</f>
        <v>1.65</v>
      </c>
      <c r="R42" s="35">
        <f t="shared" si="81"/>
        <v>8.6</v>
      </c>
      <c r="S42" s="33">
        <f t="shared" si="87"/>
        <v>0</v>
      </c>
      <c r="T42" s="33">
        <f t="shared" si="88"/>
        <v>0</v>
      </c>
      <c r="U42" s="33" t="str">
        <f t="shared" si="82"/>
        <v/>
      </c>
      <c r="V42" s="33" t="str">
        <f t="shared" si="83"/>
        <v/>
      </c>
      <c r="W42" s="42" t="str">
        <f t="shared" si="84"/>
        <v/>
      </c>
      <c r="X42" s="1" t="str">
        <f t="shared" ref="X42:X43" si="90">IF(AND(C42&lt;&gt;0,T42&gt;3),"Es dürfen maximal 3 Positionen auf einem Rezept gedruckt werden!","")</f>
        <v/>
      </c>
    </row>
    <row r="43" spans="1:24" x14ac:dyDescent="0.25">
      <c r="A43" s="3">
        <v>17899252</v>
      </c>
      <c r="B43" s="3" t="s">
        <v>59</v>
      </c>
      <c r="C43" s="46"/>
      <c r="D43" s="32">
        <f t="shared" si="70"/>
        <v>0</v>
      </c>
      <c r="E43" s="32">
        <f t="shared" si="86"/>
        <v>0</v>
      </c>
      <c r="F43" s="11" t="str">
        <f t="shared" si="71"/>
        <v/>
      </c>
      <c r="G43" s="33">
        <f t="shared" si="72"/>
        <v>0</v>
      </c>
      <c r="H43" s="33">
        <f t="shared" si="73"/>
        <v>0</v>
      </c>
      <c r="I43" s="33">
        <f t="shared" si="74"/>
        <v>0</v>
      </c>
      <c r="J43" s="34">
        <f t="shared" si="75"/>
        <v>0</v>
      </c>
      <c r="K43" s="33" t="str">
        <f t="shared" si="76"/>
        <v/>
      </c>
      <c r="L43" s="33" t="str">
        <f t="shared" si="77"/>
        <v/>
      </c>
      <c r="M43" s="33" t="str">
        <f t="shared" si="78"/>
        <v/>
      </c>
      <c r="N43" s="35" t="str">
        <f t="shared" si="79"/>
        <v/>
      </c>
      <c r="O43" s="35" t="str">
        <f t="shared" si="68"/>
        <v/>
      </c>
      <c r="P43" s="35" t="str">
        <f t="shared" si="69"/>
        <v/>
      </c>
      <c r="Q43" s="35">
        <f t="shared" si="89"/>
        <v>1.65</v>
      </c>
      <c r="R43" s="35">
        <f t="shared" si="81"/>
        <v>8.6</v>
      </c>
      <c r="S43" s="33">
        <f t="shared" si="87"/>
        <v>0</v>
      </c>
      <c r="T43" s="33">
        <f t="shared" si="88"/>
        <v>0</v>
      </c>
      <c r="U43" s="33" t="str">
        <f t="shared" si="82"/>
        <v/>
      </c>
      <c r="V43" s="33" t="str">
        <f t="shared" si="83"/>
        <v/>
      </c>
      <c r="W43" s="42" t="str">
        <f t="shared" si="84"/>
        <v/>
      </c>
      <c r="X43" s="1" t="str">
        <f t="shared" si="90"/>
        <v/>
      </c>
    </row>
    <row r="44" spans="1:24" x14ac:dyDescent="0.25">
      <c r="A44" s="3"/>
      <c r="B44" s="2" t="s">
        <v>7</v>
      </c>
      <c r="C44" s="8">
        <f>SUM(C38:C43)</f>
        <v>0</v>
      </c>
      <c r="D44" s="32"/>
      <c r="E44" s="32"/>
      <c r="F44" s="11">
        <f>SUM(F38:F43)</f>
        <v>0</v>
      </c>
      <c r="X44" s="1"/>
    </row>
    <row r="45" spans="1:24" x14ac:dyDescent="0.25">
      <c r="A45" s="1"/>
      <c r="B45" s="1"/>
      <c r="C45" s="7"/>
      <c r="F45" s="7"/>
      <c r="X45" s="1"/>
    </row>
    <row r="46" spans="1:24" ht="15.75" x14ac:dyDescent="0.25">
      <c r="A46" s="49" t="s">
        <v>27</v>
      </c>
      <c r="B46" s="49"/>
      <c r="C46" s="6" t="s">
        <v>17</v>
      </c>
      <c r="D46" s="29"/>
      <c r="E46" s="30"/>
      <c r="F46" s="47"/>
      <c r="X46" s="1" t="str">
        <f>IF(F46&lt;$K$3, "Eine Belieferung der Ärzte kann erst ab dem 31.05.2021 erfolgen", "")</f>
        <v>Eine Belieferung der Ärzte kann erst ab dem 31.05.2021 erfolgen</v>
      </c>
    </row>
    <row r="47" spans="1:24" s="10" customFormat="1" x14ac:dyDescent="0.25">
      <c r="A47" s="2" t="s">
        <v>0</v>
      </c>
      <c r="B47" s="2" t="s">
        <v>6</v>
      </c>
      <c r="C47" s="2" t="s">
        <v>1</v>
      </c>
      <c r="D47" s="31" t="s">
        <v>43</v>
      </c>
      <c r="E47" s="31" t="s">
        <v>44</v>
      </c>
      <c r="F47" s="2" t="s">
        <v>2</v>
      </c>
      <c r="G47" s="41"/>
      <c r="H47" s="41"/>
      <c r="I47" s="41"/>
      <c r="J47" s="41"/>
      <c r="K47" s="41"/>
      <c r="L47" s="41"/>
      <c r="M47" s="41"/>
      <c r="N47" s="43"/>
      <c r="O47" s="43"/>
      <c r="P47" s="43"/>
      <c r="Q47" s="43"/>
      <c r="R47" s="43"/>
      <c r="S47" s="41"/>
      <c r="T47" s="41"/>
      <c r="U47" s="41"/>
      <c r="V47" s="41"/>
      <c r="W47" s="41"/>
      <c r="X47" s="44"/>
    </row>
    <row r="48" spans="1:24" x14ac:dyDescent="0.25">
      <c r="A48" s="3">
        <v>17377625</v>
      </c>
      <c r="B48" s="3" t="s">
        <v>3</v>
      </c>
      <c r="C48" s="46"/>
      <c r="D48" s="32">
        <f>ROUND(C48,0)</f>
        <v>0</v>
      </c>
      <c r="E48" s="32">
        <f>E43+C48</f>
        <v>0</v>
      </c>
      <c r="F48" s="11" t="str">
        <f>IF(AND(C48&gt;0,X48="",J48&gt;=$K$3), N48+O48+P48, "")</f>
        <v/>
      </c>
      <c r="G48" s="33">
        <f>IF(E48&lt;100,C48,IF(E48-C48&gt;100,0,MIN(100-(E48-C48))))</f>
        <v>0</v>
      </c>
      <c r="H48" s="33">
        <f>IF(E48&lt;=100,0,IF(E48-C48&gt;150,0,MIN(150,E48)-MAX(100,E48-C48)))</f>
        <v>0</v>
      </c>
      <c r="I48" s="33">
        <f>IF(E48&lt;=150,0,E48-MAX(150,E48-C48))</f>
        <v>0</v>
      </c>
      <c r="J48" s="34">
        <f>F$46</f>
        <v>0</v>
      </c>
      <c r="K48" s="33" t="str">
        <f>IF($J48&lt;$K$3, "", IF($J48&lt;$K$2,6.58,7.58))</f>
        <v/>
      </c>
      <c r="L48" s="33" t="str">
        <f>IF($J48&lt;$K$3, "", IF($J48&lt;$K$2,4.28,4.92))</f>
        <v/>
      </c>
      <c r="M48" s="33" t="str">
        <f>IF($J48&lt;$K$3, "", IF($J48&lt;$K$2,2.19,2.52))</f>
        <v/>
      </c>
      <c r="N48" s="35" t="str">
        <f>IF($J48&lt;$K$3, "",G48*ROUND((K48+$Q48+$R48)*1.19,2))</f>
        <v/>
      </c>
      <c r="O48" s="35" t="str">
        <f t="shared" ref="O48:O53" si="91">IF($J48&lt;$K$3, "",H48*ROUND((L48+$Q48+$R48)*1.19,2))</f>
        <v/>
      </c>
      <c r="P48" s="35" t="str">
        <f t="shared" ref="P48:P53" si="92">IF($J48&lt;$K$3, "",I48*ROUND((M48+$Q48+$R48)*1.19,2))</f>
        <v/>
      </c>
      <c r="Q48" s="35">
        <f>IF(J48&lt;$K$4,1.65,IF(J48&lt;$K$5,1.4,3.72))</f>
        <v>1.65</v>
      </c>
      <c r="R48" s="35">
        <f>IF(J48&lt;$K$1,8.6,7.45)</f>
        <v>8.6</v>
      </c>
      <c r="S48" s="33">
        <f>IF(C48&gt;0,1,0)</f>
        <v>0</v>
      </c>
      <c r="T48" s="33">
        <f>S48</f>
        <v>0</v>
      </c>
      <c r="U48" s="33" t="str">
        <f>IF(S48&gt;0,A48,"")</f>
        <v/>
      </c>
      <c r="V48" s="33" t="str">
        <f>IF(S48&gt;0,C48,"")</f>
        <v/>
      </c>
      <c r="W48" s="42" t="str">
        <f>IF(S48&gt;0,F48,"")</f>
        <v/>
      </c>
      <c r="X48" s="1" t="str">
        <f>IF(AND(C48&lt;&gt;0,T48&gt;3),"Es dürfen maximal 3 Positionen auf einem Rezept gedruckt werden!","")</f>
        <v/>
      </c>
    </row>
    <row r="49" spans="1:24" x14ac:dyDescent="0.25">
      <c r="A49" s="3">
        <v>17377588</v>
      </c>
      <c r="B49" s="3" t="s">
        <v>4</v>
      </c>
      <c r="C49" s="46"/>
      <c r="D49" s="32">
        <f t="shared" ref="D49:D53" si="93">ROUND(C49,0)</f>
        <v>0</v>
      </c>
      <c r="E49" s="32">
        <f>E48+C49</f>
        <v>0</v>
      </c>
      <c r="F49" s="11" t="str">
        <f t="shared" ref="F49:F53" si="94">IF(AND(C49&gt;0,X49="",J49&gt;=$K$3), N49+O49+P49, "")</f>
        <v/>
      </c>
      <c r="G49" s="33">
        <f t="shared" ref="G49:G53" si="95">IF(E49&lt;100,C49,IF(E49-C49&gt;100,0,MIN(100-(E49-C49))))</f>
        <v>0</v>
      </c>
      <c r="H49" s="33">
        <f t="shared" ref="H49:H53" si="96">IF(E49&lt;=100,0,IF(E49-C49&gt;150,0,MIN(150,E49)-MAX(100,E49-C49)))</f>
        <v>0</v>
      </c>
      <c r="I49" s="33">
        <f t="shared" ref="I49:I53" si="97">IF(E49&lt;=150,0,E49-MAX(150,E49-C49))</f>
        <v>0</v>
      </c>
      <c r="J49" s="34">
        <f t="shared" ref="J49:J53" si="98">F$46</f>
        <v>0</v>
      </c>
      <c r="K49" s="33" t="str">
        <f t="shared" ref="K49:K53" si="99">IF($J49&lt;$K$3, "", IF($J49&lt;$K$2,6.58,7.58))</f>
        <v/>
      </c>
      <c r="L49" s="33" t="str">
        <f t="shared" ref="L49:L53" si="100">IF($J49&lt;$K$3, "", IF($J49&lt;$K$2,4.28,4.92))</f>
        <v/>
      </c>
      <c r="M49" s="33" t="str">
        <f t="shared" ref="M49:M53" si="101">IF($J49&lt;$K$3, "", IF($J49&lt;$K$2,2.19,2.52))</f>
        <v/>
      </c>
      <c r="N49" s="35" t="str">
        <f t="shared" ref="N49:N53" si="102">IF($J49&lt;$K$3, "",G49*ROUND((K49+$Q49+$R49)*1.19,2))</f>
        <v/>
      </c>
      <c r="O49" s="35" t="str">
        <f t="shared" si="91"/>
        <v/>
      </c>
      <c r="P49" s="35" t="str">
        <f t="shared" si="92"/>
        <v/>
      </c>
      <c r="Q49" s="35">
        <f t="shared" ref="Q49:Q53" si="103">IF(J49&lt;$K$4,1.65,IF(J49&lt;$K$5,1.4,3.72))</f>
        <v>1.65</v>
      </c>
      <c r="R49" s="35">
        <f t="shared" ref="R49:R53" si="104">IF(J49&lt;$K$1,8.6,7.45)</f>
        <v>8.6</v>
      </c>
      <c r="S49" s="33">
        <f>IF(C49&gt;0,T48+1,0)</f>
        <v>0</v>
      </c>
      <c r="T49" s="33">
        <f>IF(C49&gt;0,T48+1,T48)</f>
        <v>0</v>
      </c>
      <c r="U49" s="33" t="str">
        <f t="shared" ref="U49:U53" si="105">IF(S49&gt;0,A49,"")</f>
        <v/>
      </c>
      <c r="V49" s="33" t="str">
        <f t="shared" ref="V49:V53" si="106">IF(S49&gt;0,C49,"")</f>
        <v/>
      </c>
      <c r="W49" s="42" t="str">
        <f t="shared" ref="W49:W53" si="107">IF(S49&gt;0,F49,"")</f>
        <v/>
      </c>
      <c r="X49" s="1" t="str">
        <f t="shared" ref="X49:X50" si="108">IF(AND(C49&lt;&gt;0,T49&gt;3),"Es dürfen maximal 3 Positionen auf einem Rezept gedruckt werden!","")</f>
        <v/>
      </c>
    </row>
    <row r="50" spans="1:24" x14ac:dyDescent="0.25">
      <c r="A50" s="3">
        <v>17377602</v>
      </c>
      <c r="B50" s="3" t="s">
        <v>51</v>
      </c>
      <c r="C50" s="46"/>
      <c r="D50" s="32">
        <f t="shared" si="93"/>
        <v>0</v>
      </c>
      <c r="E50" s="32">
        <f t="shared" ref="E50:E51" si="109">E49+C50</f>
        <v>0</v>
      </c>
      <c r="F50" s="11" t="str">
        <f t="shared" si="94"/>
        <v/>
      </c>
      <c r="G50" s="33">
        <f t="shared" si="95"/>
        <v>0</v>
      </c>
      <c r="H50" s="33">
        <f t="shared" si="96"/>
        <v>0</v>
      </c>
      <c r="I50" s="33">
        <f t="shared" si="97"/>
        <v>0</v>
      </c>
      <c r="J50" s="34">
        <f t="shared" si="98"/>
        <v>0</v>
      </c>
      <c r="K50" s="33" t="str">
        <f t="shared" si="99"/>
        <v/>
      </c>
      <c r="L50" s="33" t="str">
        <f t="shared" si="100"/>
        <v/>
      </c>
      <c r="M50" s="33" t="str">
        <f t="shared" si="101"/>
        <v/>
      </c>
      <c r="N50" s="35" t="str">
        <f t="shared" si="102"/>
        <v/>
      </c>
      <c r="O50" s="35" t="str">
        <f t="shared" si="91"/>
        <v/>
      </c>
      <c r="P50" s="35" t="str">
        <f t="shared" si="92"/>
        <v/>
      </c>
      <c r="Q50" s="35">
        <f>IF(J50&lt;$K$4,1.65,IF(J50&lt;$K$5,2.8,3.72))</f>
        <v>1.65</v>
      </c>
      <c r="R50" s="35">
        <f t="shared" si="104"/>
        <v>8.6</v>
      </c>
      <c r="S50" s="33">
        <f t="shared" ref="S50:S53" si="110">IF(C50&gt;0,T49+1,0)</f>
        <v>0</v>
      </c>
      <c r="T50" s="33">
        <f>IF(C50&gt;0,T49+1,T49)</f>
        <v>0</v>
      </c>
      <c r="U50" s="33" t="str">
        <f t="shared" si="105"/>
        <v/>
      </c>
      <c r="V50" s="33" t="str">
        <f t="shared" si="106"/>
        <v/>
      </c>
      <c r="W50" s="42" t="str">
        <f t="shared" si="107"/>
        <v/>
      </c>
      <c r="X50" s="1" t="str">
        <f t="shared" si="108"/>
        <v/>
      </c>
    </row>
    <row r="51" spans="1:24" x14ac:dyDescent="0.25">
      <c r="A51" s="3">
        <v>17377648</v>
      </c>
      <c r="B51" s="3" t="s">
        <v>5</v>
      </c>
      <c r="C51" s="46"/>
      <c r="D51" s="32">
        <f t="shared" si="93"/>
        <v>0</v>
      </c>
      <c r="E51" s="32">
        <f t="shared" si="109"/>
        <v>0</v>
      </c>
      <c r="F51" s="11" t="str">
        <f t="shared" si="94"/>
        <v/>
      </c>
      <c r="G51" s="33">
        <f t="shared" si="95"/>
        <v>0</v>
      </c>
      <c r="H51" s="33">
        <f t="shared" si="96"/>
        <v>0</v>
      </c>
      <c r="I51" s="33">
        <f t="shared" si="97"/>
        <v>0</v>
      </c>
      <c r="J51" s="34">
        <f t="shared" si="98"/>
        <v>0</v>
      </c>
      <c r="K51" s="33" t="str">
        <f t="shared" si="99"/>
        <v/>
      </c>
      <c r="L51" s="33" t="str">
        <f t="shared" si="100"/>
        <v/>
      </c>
      <c r="M51" s="33" t="str">
        <f t="shared" si="101"/>
        <v/>
      </c>
      <c r="N51" s="35" t="str">
        <f t="shared" si="102"/>
        <v/>
      </c>
      <c r="O51" s="35" t="str">
        <f t="shared" si="91"/>
        <v/>
      </c>
      <c r="P51" s="35" t="str">
        <f t="shared" si="92"/>
        <v/>
      </c>
      <c r="Q51" s="35">
        <f t="shared" si="103"/>
        <v>1.65</v>
      </c>
      <c r="R51" s="35">
        <f t="shared" si="104"/>
        <v>8.6</v>
      </c>
      <c r="S51" s="33">
        <f t="shared" si="110"/>
        <v>0</v>
      </c>
      <c r="T51" s="33">
        <f t="shared" ref="T51:T53" si="111">IF(C51&gt;0,T50+1,T50)</f>
        <v>0</v>
      </c>
      <c r="U51" s="33" t="str">
        <f t="shared" si="105"/>
        <v/>
      </c>
      <c r="V51" s="33" t="str">
        <f t="shared" si="106"/>
        <v/>
      </c>
      <c r="W51" s="42" t="str">
        <f t="shared" si="107"/>
        <v/>
      </c>
      <c r="X51" s="1" t="str">
        <f>IF(AND(C51&lt;&gt;0,T51&gt;3),"Es dürfen maximal 3 Positionen auf einem Rezept gedruckt werden!","")</f>
        <v/>
      </c>
    </row>
    <row r="52" spans="1:24" x14ac:dyDescent="0.25">
      <c r="A52" s="3">
        <v>17895975</v>
      </c>
      <c r="B52" s="3" t="s">
        <v>55</v>
      </c>
      <c r="C52" s="46"/>
      <c r="D52" s="32">
        <f t="shared" si="93"/>
        <v>0</v>
      </c>
      <c r="E52" s="32">
        <f>E51+C52</f>
        <v>0</v>
      </c>
      <c r="F52" s="11" t="str">
        <f t="shared" si="94"/>
        <v/>
      </c>
      <c r="G52" s="33">
        <f t="shared" si="95"/>
        <v>0</v>
      </c>
      <c r="H52" s="33">
        <f t="shared" si="96"/>
        <v>0</v>
      </c>
      <c r="I52" s="33">
        <f t="shared" si="97"/>
        <v>0</v>
      </c>
      <c r="J52" s="34">
        <f t="shared" si="98"/>
        <v>0</v>
      </c>
      <c r="K52" s="33" t="str">
        <f t="shared" si="99"/>
        <v/>
      </c>
      <c r="L52" s="33" t="str">
        <f t="shared" si="100"/>
        <v/>
      </c>
      <c r="M52" s="33" t="str">
        <f t="shared" si="101"/>
        <v/>
      </c>
      <c r="N52" s="35" t="str">
        <f t="shared" si="102"/>
        <v/>
      </c>
      <c r="O52" s="35" t="str">
        <f t="shared" si="91"/>
        <v/>
      </c>
      <c r="P52" s="35" t="str">
        <f t="shared" si="92"/>
        <v/>
      </c>
      <c r="Q52" s="35">
        <f t="shared" si="103"/>
        <v>1.65</v>
      </c>
      <c r="R52" s="35">
        <f t="shared" si="104"/>
        <v>8.6</v>
      </c>
      <c r="S52" s="33">
        <f t="shared" si="110"/>
        <v>0</v>
      </c>
      <c r="T52" s="33">
        <f t="shared" si="111"/>
        <v>0</v>
      </c>
      <c r="U52" s="33" t="str">
        <f t="shared" si="105"/>
        <v/>
      </c>
      <c r="V52" s="33" t="str">
        <f t="shared" si="106"/>
        <v/>
      </c>
      <c r="W52" s="42" t="str">
        <f t="shared" si="107"/>
        <v/>
      </c>
      <c r="X52" s="1" t="str">
        <f t="shared" ref="X52:X53" si="112">IF(AND(C52&lt;&gt;0,T52&gt;3),"Es dürfen maximal 3 Positionen auf einem Rezept gedruckt werden!","")</f>
        <v/>
      </c>
    </row>
    <row r="53" spans="1:24" x14ac:dyDescent="0.25">
      <c r="A53" s="3">
        <v>17899252</v>
      </c>
      <c r="B53" s="3" t="s">
        <v>59</v>
      </c>
      <c r="C53" s="46"/>
      <c r="D53" s="32">
        <f t="shared" si="93"/>
        <v>0</v>
      </c>
      <c r="E53" s="32">
        <f>E52+C53</f>
        <v>0</v>
      </c>
      <c r="F53" s="11" t="str">
        <f t="shared" si="94"/>
        <v/>
      </c>
      <c r="G53" s="33">
        <f t="shared" si="95"/>
        <v>0</v>
      </c>
      <c r="H53" s="33">
        <f t="shared" si="96"/>
        <v>0</v>
      </c>
      <c r="I53" s="33">
        <f t="shared" si="97"/>
        <v>0</v>
      </c>
      <c r="J53" s="34">
        <f t="shared" si="98"/>
        <v>0</v>
      </c>
      <c r="K53" s="33" t="str">
        <f t="shared" si="99"/>
        <v/>
      </c>
      <c r="L53" s="33" t="str">
        <f t="shared" si="100"/>
        <v/>
      </c>
      <c r="M53" s="33" t="str">
        <f t="shared" si="101"/>
        <v/>
      </c>
      <c r="N53" s="35" t="str">
        <f t="shared" si="102"/>
        <v/>
      </c>
      <c r="O53" s="35" t="str">
        <f t="shared" si="91"/>
        <v/>
      </c>
      <c r="P53" s="35" t="str">
        <f t="shared" si="92"/>
        <v/>
      </c>
      <c r="Q53" s="35">
        <f t="shared" si="103"/>
        <v>1.65</v>
      </c>
      <c r="R53" s="35">
        <f t="shared" si="104"/>
        <v>8.6</v>
      </c>
      <c r="S53" s="33">
        <f t="shared" si="110"/>
        <v>0</v>
      </c>
      <c r="T53" s="33">
        <f t="shared" si="111"/>
        <v>0</v>
      </c>
      <c r="U53" s="33" t="str">
        <f t="shared" si="105"/>
        <v/>
      </c>
      <c r="V53" s="33" t="str">
        <f t="shared" si="106"/>
        <v/>
      </c>
      <c r="W53" s="42" t="str">
        <f t="shared" si="107"/>
        <v/>
      </c>
      <c r="X53" s="1" t="str">
        <f t="shared" si="112"/>
        <v/>
      </c>
    </row>
    <row r="54" spans="1:24" x14ac:dyDescent="0.25">
      <c r="A54" s="3"/>
      <c r="B54" s="2" t="s">
        <v>7</v>
      </c>
      <c r="C54" s="8">
        <f>SUM(C48:C53)</f>
        <v>0</v>
      </c>
      <c r="D54" s="32"/>
      <c r="E54" s="32"/>
      <c r="F54" s="11">
        <f>SUM(F48:F53)</f>
        <v>0</v>
      </c>
      <c r="X54" s="1"/>
    </row>
    <row r="55" spans="1:24" x14ac:dyDescent="0.25">
      <c r="A55" s="1"/>
      <c r="B55" s="1"/>
      <c r="C55" s="7"/>
      <c r="F55" s="7"/>
      <c r="X55" s="1"/>
    </row>
    <row r="56" spans="1:24" x14ac:dyDescent="0.25">
      <c r="F56" s="20"/>
      <c r="G56" s="33">
        <f>SUM(G8:G55)</f>
        <v>0</v>
      </c>
      <c r="H56" s="33">
        <f t="shared" ref="H56:P56" si="113">SUM(H8:H55)</f>
        <v>0</v>
      </c>
      <c r="I56" s="33">
        <f t="shared" si="113"/>
        <v>0</v>
      </c>
      <c r="N56" s="35">
        <f t="shared" si="113"/>
        <v>0</v>
      </c>
      <c r="O56" s="35">
        <f t="shared" si="113"/>
        <v>0</v>
      </c>
      <c r="P56" s="35">
        <f t="shared" si="113"/>
        <v>0</v>
      </c>
    </row>
  </sheetData>
  <sheetProtection algorithmName="SHA-512" hashValue="TWOtXXITIjnqkHpzFgRNhiX/oDuLOOptPoK/WaYCs8NjqUMiE215m0v6UmtCM0sHlRxMRyJzJK1j8DE2AK4PCw==" saltValue="/hS7Kjp5nj+VIM+JNKfLWg==" spinCount="100000" sheet="1" selectLockedCells="1"/>
  <mergeCells count="16">
    <mergeCell ref="Q6:R6"/>
    <mergeCell ref="A36:B36"/>
    <mergeCell ref="G1:I1"/>
    <mergeCell ref="G2:I2"/>
    <mergeCell ref="G3:I3"/>
    <mergeCell ref="C1:F1"/>
    <mergeCell ref="C2:F2"/>
    <mergeCell ref="G4:I4"/>
    <mergeCell ref="G5:I5"/>
    <mergeCell ref="A46:B46"/>
    <mergeCell ref="G6:I6"/>
    <mergeCell ref="N6:P6"/>
    <mergeCell ref="K6:M6"/>
    <mergeCell ref="A6:B6"/>
    <mergeCell ref="A16:B16"/>
    <mergeCell ref="A26:B26"/>
  </mergeCells>
  <pageMargins left="0.7" right="0.7" top="0.78740157499999996" bottom="0.78740157499999996"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
  <sheetViews>
    <sheetView topLeftCell="E1" workbookViewId="0">
      <selection activeCell="E9" sqref="E9"/>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5">
        <f>SUM(I6:I9)/100</f>
        <v>0</v>
      </c>
      <c r="I3" s="55"/>
    </row>
    <row r="4" spans="1:9" ht="10.5" customHeight="1" x14ac:dyDescent="0.25">
      <c r="I4" s="14"/>
    </row>
    <row r="5" spans="1:9"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1'!$A6,Datenerfassung!$S$8:$W$13,3,FALSE)</f>
        <v>#N/A</v>
      </c>
      <c r="C6" s="27" t="e">
        <f>VLOOKUP('Beleg 1'!$A6,Datenerfassung!$S$8:$W$13,4,FALSE)</f>
        <v>#N/A</v>
      </c>
      <c r="D6" s="27" t="e">
        <f>VLOOKUP('Beleg 1'!$A6,Datenerfassung!$S$8:$W$13,5,FALSE)</f>
        <v>#N/A</v>
      </c>
      <c r="E6" s="16"/>
      <c r="F6" s="16"/>
      <c r="G6" s="19" t="str">
        <f>IF(ISNA(B6),"",B6)</f>
        <v/>
      </c>
      <c r="H6" s="15" t="str">
        <f t="shared" ref="H6:H8" si="0">IF(ISNA(C6),"",C6)</f>
        <v/>
      </c>
      <c r="I6" s="17" t="str">
        <f>IF(ISNA(D6),"",D6*100)</f>
        <v/>
      </c>
    </row>
    <row r="7" spans="1:9" s="5" customFormat="1" ht="22.5" customHeight="1" x14ac:dyDescent="0.25">
      <c r="A7" s="26">
        <v>2</v>
      </c>
      <c r="B7" s="27" t="e">
        <f>VLOOKUP('Beleg 1'!$A7,Datenerfassung!$S$8:$W$13,3,FALSE)</f>
        <v>#N/A</v>
      </c>
      <c r="C7" s="27" t="e">
        <f>VLOOKUP('Beleg 1'!$A7,Datenerfassung!$S$8:$W$13,4,FALSE)</f>
        <v>#N/A</v>
      </c>
      <c r="D7" s="27" t="e">
        <f>VLOOKUP('Beleg 1'!$A7,Datenerfassung!$S$8:$W$13,5,FALSE)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1'!$A8,Datenerfassung!$S$8:$W$13,3,FALSE)</f>
        <v>#N/A</v>
      </c>
      <c r="C8" s="27" t="e">
        <f>VLOOKUP('Beleg 1'!$A8,Datenerfassung!$S$8:$W$13,4,FALSE)</f>
        <v>#N/A</v>
      </c>
      <c r="D8" s="27" t="e">
        <f>VLOOKUP('Beleg 1'!$A8,Datenerfassung!$S$8:$W$13,5,FALSE)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Datenerfassung!F6</f>
        <v>0</v>
      </c>
      <c r="F11" s="12">
        <f>Datenerfassung!B2</f>
        <v>0</v>
      </c>
    </row>
  </sheetData>
  <sheetProtection algorithmName="SHA-512" hashValue="moNs/A7gG7KjQXXgOHhFvF1zr5niN1L1xKK/vsZLwnTvChE997MNxjL0bHsO5+UKlilJHjyE2OcnOdGkx6F6uQ==" saltValue="Jm5f4kluaX8dE2peCilRV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1"/>
  <sheetViews>
    <sheetView topLeftCell="E1" workbookViewId="0">
      <selection activeCell="H9" sqref="H9"/>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5">
        <f>SUM(I6:I9)/100</f>
        <v>0</v>
      </c>
      <c r="I3" s="55"/>
    </row>
    <row r="4" spans="1:9" ht="10.5" customHeight="1" x14ac:dyDescent="0.25">
      <c r="I4" s="14"/>
    </row>
    <row r="5" spans="1:9"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2'!$A6,Datenerfassung!$S$18:$W$23,3,FALSE)</f>
        <v>#N/A</v>
      </c>
      <c r="C6" s="27" t="e">
        <f>VLOOKUP('Beleg 2'!$A6,Datenerfassung!$S$18:$W$23,4,FALSE)</f>
        <v>#N/A</v>
      </c>
      <c r="D6" s="27" t="e">
        <f>VLOOKUP('Beleg 2'!$A6,Datenerfassung!$S$18:$W$23,5,FALSE)</f>
        <v>#N/A</v>
      </c>
      <c r="E6" s="16"/>
      <c r="F6" s="16"/>
      <c r="G6" s="19" t="str">
        <f>IF(ISNA(B6),"",B6)</f>
        <v/>
      </c>
      <c r="H6" s="15" t="str">
        <f t="shared" ref="H6:H8" si="0">IF(ISNA(C6),"",C6)</f>
        <v/>
      </c>
      <c r="I6" s="17" t="str">
        <f>IF(ISNA(D6),"",D6*100)</f>
        <v/>
      </c>
    </row>
    <row r="7" spans="1:9" s="5" customFormat="1" ht="22.5" customHeight="1" x14ac:dyDescent="0.25">
      <c r="A7" s="26">
        <v>2</v>
      </c>
      <c r="B7" s="27" t="e">
        <f>VLOOKUP('Beleg 2'!$A7,Datenerfassung!$S$18:$W$23,3,FALSE)</f>
        <v>#N/A</v>
      </c>
      <c r="C7" s="27" t="e">
        <f>VLOOKUP('Beleg 2'!$A7,Datenerfassung!$S$18:$W$23,4,FALSE)</f>
        <v>#N/A</v>
      </c>
      <c r="D7" s="27" t="e">
        <f>VLOOKUP('Beleg 2'!$A7,Datenerfassung!$S$18:$W$23,5,FALSE)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2'!$A8,Datenerfassung!$S$18:$W$23,3,FALSE)</f>
        <v>#N/A</v>
      </c>
      <c r="C8" s="27" t="e">
        <f>VLOOKUP('Beleg 2'!$A8,Datenerfassung!$S$18:$W$23,4,FALSE)</f>
        <v>#N/A</v>
      </c>
      <c r="D8" s="27" t="e">
        <f>VLOOKUP('Beleg 2'!$A8,Datenerfassung!$S$18:$W$23,5,FALSE)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Datenerfassung!F16</f>
        <v>0</v>
      </c>
      <c r="F11" s="12">
        <f>Datenerfassung!B2</f>
        <v>0</v>
      </c>
    </row>
  </sheetData>
  <sheetProtection algorithmName="SHA-512" hashValue="GdxVQJe6NwkEkCcWLa/hr/DJm8N+v0bS3ILhZMC35POME1mgLdXTRtzFHr6QIbMbhuKDZKzx332OzZIexfQFYQ==" saltValue="7yD5S7rTOsVBnbwSJU4tLQ=="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topLeftCell="E1" workbookViewId="0">
      <selection activeCell="E9" sqref="E9"/>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5">
        <f>SUM(I6:I9)/100</f>
        <v>0</v>
      </c>
      <c r="I3" s="55"/>
    </row>
    <row r="4" spans="1:9" ht="10.5" customHeight="1" x14ac:dyDescent="0.25">
      <c r="I4" s="14"/>
    </row>
    <row r="5" spans="1:9"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3'!$A6,Datenerfassung!$S$28:$W$33,3,FALSE)</f>
        <v>#N/A</v>
      </c>
      <c r="C6" s="27" t="e">
        <f>VLOOKUP('Beleg 3'!$A6,Datenerfassung!$S$28:$W$33,4,FALSE)</f>
        <v>#N/A</v>
      </c>
      <c r="D6" s="27" t="e">
        <f>VLOOKUP('Beleg 3'!$A6,Datenerfassung!$S$28:$W$33,5,FALSE)</f>
        <v>#N/A</v>
      </c>
      <c r="E6" s="16"/>
      <c r="F6" s="16"/>
      <c r="G6" s="19" t="str">
        <f>IF(ISNA(B6),"",B6)</f>
        <v/>
      </c>
      <c r="H6" s="15" t="str">
        <f t="shared" ref="H6:H8" si="0">IF(ISNA(C6),"",C6)</f>
        <v/>
      </c>
      <c r="I6" s="17" t="str">
        <f>IF(ISNA(D6),"",D6*100)</f>
        <v/>
      </c>
    </row>
    <row r="7" spans="1:9" s="5" customFormat="1" ht="22.5" customHeight="1" x14ac:dyDescent="0.25">
      <c r="A7" s="26">
        <v>2</v>
      </c>
      <c r="B7" s="27" t="e">
        <f>VLOOKUP('Beleg 3'!$A7,Datenerfassung!$S$28:$W$33,3,FALSE)</f>
        <v>#N/A</v>
      </c>
      <c r="C7" s="27" t="e">
        <f>VLOOKUP('Beleg 3'!$A7,Datenerfassung!$S$28:$W$33,4,FALSE)</f>
        <v>#N/A</v>
      </c>
      <c r="D7" s="27" t="e">
        <f>VLOOKUP('Beleg 3'!$A7,Datenerfassung!$S$28:$W$33,5,FALSE)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3'!$A8,Datenerfassung!$S$28:$W$33,3,FALSE)</f>
        <v>#N/A</v>
      </c>
      <c r="C8" s="27" t="e">
        <f>VLOOKUP('Beleg 3'!$A8,Datenerfassung!$S$28:$W$33,4,FALSE)</f>
        <v>#N/A</v>
      </c>
      <c r="D8" s="27" t="e">
        <f>VLOOKUP('Beleg 3'!$A8,Datenerfassung!$S$28:$W$33,5,FALSE)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Datenerfassung!F26</f>
        <v>0</v>
      </c>
      <c r="F11" s="12">
        <f>Datenerfassung!B2</f>
        <v>0</v>
      </c>
    </row>
  </sheetData>
  <sheetProtection algorithmName="SHA-512" hashValue="gQFG3zs8pXzMqht6uA96EvA3jDWxaZrWGGk1Oq0dEjjl/CZm2rNYrJUUOrVwe8dQXzNLKsQHfZSM3ojxlVfteA==" saltValue="nzenbS2wwWg6K0+1kKqddA=="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
  <sheetViews>
    <sheetView topLeftCell="E1" workbookViewId="0">
      <selection activeCell="E9" sqref="E9"/>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7.710937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5">
        <f>SUM(I6:I9)/100</f>
        <v>0</v>
      </c>
      <c r="I3" s="55"/>
    </row>
    <row r="4" spans="1:9" ht="10.5" customHeight="1" x14ac:dyDescent="0.25">
      <c r="I4" s="14"/>
    </row>
    <row r="5" spans="1:9"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4'!$A6,Datenerfassung!$S$38:$W$43,3,FALSE)</f>
        <v>#N/A</v>
      </c>
      <c r="C6" s="27" t="e">
        <f>VLOOKUP('Beleg 4'!$A6,Datenerfassung!$S$38:$W$43,4,FALSE)</f>
        <v>#N/A</v>
      </c>
      <c r="D6" s="27" t="e">
        <f>VLOOKUP('Beleg 4'!$A6,Datenerfassung!$S$38:$W$43,5,FALSE)</f>
        <v>#N/A</v>
      </c>
      <c r="E6" s="16"/>
      <c r="F6" s="16"/>
      <c r="G6" s="19" t="str">
        <f>IF(ISNA(B6),"",B6)</f>
        <v/>
      </c>
      <c r="H6" s="15" t="str">
        <f t="shared" ref="H6:H8" si="0">IF(ISNA(C6),"",C6)</f>
        <v/>
      </c>
      <c r="I6" s="17" t="str">
        <f>IF(ISNA(D6),"",D6*100)</f>
        <v/>
      </c>
    </row>
    <row r="7" spans="1:9" s="5" customFormat="1" ht="22.5" customHeight="1" x14ac:dyDescent="0.25">
      <c r="A7" s="26">
        <v>2</v>
      </c>
      <c r="B7" s="27" t="e">
        <f>VLOOKUP('Beleg 4'!$A7,Datenerfassung!$S$38:$W$43,3,FALSE)</f>
        <v>#N/A</v>
      </c>
      <c r="C7" s="27" t="e">
        <f>VLOOKUP('Beleg 4'!$A7,Datenerfassung!$S$38:$W$43,4,FALSE)</f>
        <v>#N/A</v>
      </c>
      <c r="D7" s="27" t="e">
        <f>VLOOKUP('Beleg 4'!$A7,Datenerfassung!$S$38:$W$43,5,FALSE)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4'!$A8,Datenerfassung!$S$38:$W$43,3,FALSE)</f>
        <v>#N/A</v>
      </c>
      <c r="C8" s="27" t="e">
        <f>VLOOKUP('Beleg 4'!$A8,Datenerfassung!$S$38:$W$43,4,FALSE)</f>
        <v>#N/A</v>
      </c>
      <c r="D8" s="27" t="e">
        <f>VLOOKUP('Beleg 4'!$A8,Datenerfassung!$S$38:$W$43,5,FALSE)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Datenerfassung!F36</f>
        <v>0</v>
      </c>
      <c r="F11" s="12">
        <f>Datenerfassung!B2</f>
        <v>0</v>
      </c>
    </row>
  </sheetData>
  <sheetProtection algorithmName="SHA-512" hashValue="NczS+Wc67hLtrz/LvNAUnuQEZAdyIkCKadUKD181yO0T3G8o+jvwrF8XAAJqjQ44LnuwyYbEk801q258Qqtoyw==" saltValue="Nmy6Iahoub9iDnOFhvi9l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topLeftCell="E1" workbookViewId="0">
      <selection activeCell="E9" sqref="E9"/>
    </sheetView>
  </sheetViews>
  <sheetFormatPr baseColWidth="10" defaultRowHeight="15.75" x14ac:dyDescent="0.25"/>
  <cols>
    <col min="1" max="1" width="5.5703125" style="25" hidden="1" customWidth="1"/>
    <col min="2" max="2" width="12.7109375" style="25" hidden="1" customWidth="1"/>
    <col min="3" max="3" width="9.85546875" style="25" hidden="1" customWidth="1"/>
    <col min="4" max="4" width="8.42578125" style="25" hidden="1" customWidth="1"/>
    <col min="5" max="5" width="12.7109375" style="12" bestFit="1" customWidth="1"/>
    <col min="6" max="6" width="18.140625" style="12" customWidth="1"/>
    <col min="7" max="7" width="12" style="12" customWidth="1"/>
    <col min="8" max="8" width="6.7109375" style="12" customWidth="1"/>
    <col min="9" max="9" width="8.42578125" style="12" customWidth="1"/>
    <col min="10" max="16384" width="11.42578125" style="4"/>
  </cols>
  <sheetData>
    <row r="1" spans="1:9" x14ac:dyDescent="0.25">
      <c r="I1" s="13" t="str">
        <f>IF(OR(ROUND(Datenerfassung!A2/10000000, 0) = 30, Datenerfassung!A2 &lt; 10000000), CONCATENATE("+",TEXT(MOD(Datenerfassung!A2,10000000),"0000000"),"+"), TEXT(Datenerfassung!A2,"000000000"))</f>
        <v>+0000000+</v>
      </c>
    </row>
    <row r="2" spans="1:9" ht="12" customHeight="1" x14ac:dyDescent="0.25"/>
    <row r="3" spans="1:9" x14ac:dyDescent="0.25">
      <c r="G3" s="21">
        <v>0</v>
      </c>
      <c r="H3" s="55">
        <f>SUM(I6:I9)/100</f>
        <v>0</v>
      </c>
      <c r="I3" s="55"/>
    </row>
    <row r="4" spans="1:9" ht="10.5" customHeight="1" x14ac:dyDescent="0.25">
      <c r="I4" s="14"/>
    </row>
    <row r="5" spans="1:9" hidden="1" x14ac:dyDescent="0.25">
      <c r="A5" s="25" t="s">
        <v>15</v>
      </c>
      <c r="B5" s="25" t="s">
        <v>0</v>
      </c>
      <c r="C5" s="25" t="s">
        <v>1</v>
      </c>
      <c r="D5" s="25" t="s">
        <v>16</v>
      </c>
      <c r="G5" s="12" t="s">
        <v>0</v>
      </c>
      <c r="H5" s="12" t="s">
        <v>1</v>
      </c>
      <c r="I5" s="12" t="s">
        <v>16</v>
      </c>
    </row>
    <row r="6" spans="1:9" s="5" customFormat="1" ht="22.5" customHeight="1" x14ac:dyDescent="0.25">
      <c r="A6" s="26">
        <v>1</v>
      </c>
      <c r="B6" s="27" t="e">
        <f>VLOOKUP('Beleg 5'!$A6,Datenerfassung!$S$48:$W$53,3,FALSE)</f>
        <v>#N/A</v>
      </c>
      <c r="C6" s="27" t="e">
        <f>VLOOKUP('Beleg 5'!$A6,Datenerfassung!$S$48:$W$53,4,FALSE)</f>
        <v>#N/A</v>
      </c>
      <c r="D6" s="27" t="e">
        <f>VLOOKUP('Beleg 5'!$A6,Datenerfassung!$S$48:$W$53,5,FALSE)</f>
        <v>#N/A</v>
      </c>
      <c r="E6" s="16"/>
      <c r="F6" s="16"/>
      <c r="G6" s="19" t="str">
        <f>IF(ISNA(B6),"",B6)</f>
        <v/>
      </c>
      <c r="H6" s="15" t="str">
        <f t="shared" ref="H6:H8" si="0">IF(ISNA(C6),"",C6)</f>
        <v/>
      </c>
      <c r="I6" s="17" t="str">
        <f>IF(ISNA(D6),"",D6*100)</f>
        <v/>
      </c>
    </row>
    <row r="7" spans="1:9" s="5" customFormat="1" ht="22.5" customHeight="1" x14ac:dyDescent="0.25">
      <c r="A7" s="26">
        <v>2</v>
      </c>
      <c r="B7" s="27" t="e">
        <f>VLOOKUP('Beleg 5'!$A7,Datenerfassung!$S$48:$W$53,3,FALSE)</f>
        <v>#N/A</v>
      </c>
      <c r="C7" s="27" t="e">
        <f>VLOOKUP('Beleg 5'!$A7,Datenerfassung!$S$48:$W$53,4,FALSE)</f>
        <v>#N/A</v>
      </c>
      <c r="D7" s="27" t="e">
        <f>VLOOKUP('Beleg 5'!$A7,Datenerfassung!$S$48:$W$53,5,FALSE)</f>
        <v>#N/A</v>
      </c>
      <c r="E7" s="16"/>
      <c r="F7" s="16"/>
      <c r="G7" s="19" t="str">
        <f t="shared" ref="G7:G8" si="1">IF(ISNA(B7),"",B7)</f>
        <v/>
      </c>
      <c r="H7" s="15" t="str">
        <f t="shared" si="0"/>
        <v/>
      </c>
      <c r="I7" s="17" t="str">
        <f t="shared" ref="I7:I8" si="2">IF(ISNA(D7),"",D7*100)</f>
        <v/>
      </c>
    </row>
    <row r="8" spans="1:9" s="5" customFormat="1" ht="22.5" customHeight="1" x14ac:dyDescent="0.25">
      <c r="A8" s="26">
        <v>3</v>
      </c>
      <c r="B8" s="27" t="e">
        <f>VLOOKUP('Beleg 5'!$A8,Datenerfassung!$S$48:$W$53,3,FALSE)</f>
        <v>#N/A</v>
      </c>
      <c r="C8" s="27" t="e">
        <f>VLOOKUP('Beleg 5'!$A8,Datenerfassung!$S$48:$W$53,4,FALSE)</f>
        <v>#N/A</v>
      </c>
      <c r="D8" s="27" t="e">
        <f>VLOOKUP('Beleg 5'!$A8,Datenerfassung!$S$48:$W$53,5,FALSE)</f>
        <v>#N/A</v>
      </c>
      <c r="E8" s="16"/>
      <c r="F8" s="16"/>
      <c r="G8" s="19" t="str">
        <f t="shared" si="1"/>
        <v/>
      </c>
      <c r="H8" s="15" t="str">
        <f t="shared" si="0"/>
        <v/>
      </c>
      <c r="I8" s="17" t="str">
        <f t="shared" si="2"/>
        <v/>
      </c>
    </row>
    <row r="9" spans="1:9" s="5" customFormat="1" ht="22.5" customHeight="1" x14ac:dyDescent="0.25">
      <c r="A9" s="26"/>
      <c r="B9" s="27"/>
      <c r="C9" s="27"/>
      <c r="D9" s="27"/>
      <c r="E9" s="16"/>
      <c r="F9" s="16"/>
      <c r="G9" s="19"/>
      <c r="H9" s="15"/>
      <c r="I9" s="17"/>
    </row>
    <row r="10" spans="1:9" ht="67.5" customHeight="1" x14ac:dyDescent="0.25"/>
    <row r="11" spans="1:9" x14ac:dyDescent="0.25">
      <c r="E11" s="18">
        <f>Datenerfassung!F46</f>
        <v>0</v>
      </c>
      <c r="F11" s="12">
        <f>Datenerfassung!B2</f>
        <v>0</v>
      </c>
    </row>
  </sheetData>
  <sheetProtection algorithmName="SHA-512" hashValue="2HGd5Fc8/a6gOcOV/OsJqi95thN6pKbyqtlR44sJf2DOS0tYBDoQKheafebNDEeQBf9/5hUOU788V0derU3YGA==" saltValue="v7MEdWdXh5SqQ/5ZuHXYlg==" spinCount="100000" sheet="1" selectLockedCells="1" selectUnlockedCells="1"/>
  <mergeCells count="1">
    <mergeCell ref="H3:I3"/>
  </mergeCells>
  <pageMargins left="2.4015748031496065" right="0.19685039370078741" top="0.39370078740157483" bottom="0.78740157480314965"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ANLEITUNG</vt:lpstr>
      <vt:lpstr>Datenerfassung</vt:lpstr>
      <vt:lpstr>Beleg 1</vt:lpstr>
      <vt:lpstr>Beleg 2</vt:lpstr>
      <vt:lpstr>Beleg 3</vt:lpstr>
      <vt:lpstr>Beleg 4</vt:lpstr>
      <vt:lpstr>Beleg 5</vt:lpstr>
      <vt:lpstr>'Beleg 1'!Druckbereich</vt:lpstr>
      <vt:lpstr>'Beleg 2'!Druckbereich</vt:lpstr>
      <vt:lpstr>'Beleg 3'!Druckbereich</vt:lpstr>
      <vt:lpstr>'Beleg 4'!Druckbereich</vt:lpstr>
      <vt:lpstr>'Beleg 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Kallbach, Kai</dc:creator>
  <cp:lastModifiedBy>Sabine Mühlen</cp:lastModifiedBy>
  <cp:lastPrinted>2021-07-15T13:48:56Z</cp:lastPrinted>
  <dcterms:created xsi:type="dcterms:W3CDTF">2021-05-27T15:53:30Z</dcterms:created>
  <dcterms:modified xsi:type="dcterms:W3CDTF">2022-03-15T14:15:43Z</dcterms:modified>
</cp:coreProperties>
</file>