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Homepagedaten ab 2020_akds und SAV\Apothekerkammer\Mail Info\2022_Mail Info\"/>
    </mc:Choice>
  </mc:AlternateContent>
  <xr:revisionPtr revIDLastSave="0" documentId="8_{8863E71B-15C0-4926-A1B9-CE3693B1DC67}" xr6:coauthVersionLast="47" xr6:coauthVersionMax="47" xr10:uidLastSave="{00000000-0000-0000-0000-000000000000}"/>
  <bookViews>
    <workbookView xWindow="-120" yWindow="-120" windowWidth="29040" windowHeight="15840" tabRatio="528" activeTab="1" xr2:uid="{00000000-000D-0000-FFFF-FFFF00000000}"/>
  </bookViews>
  <sheets>
    <sheet name="ANLEITUNG" sheetId="4" r:id="rId1"/>
    <sheet name="Datenerfassung" sheetId="1" r:id="rId2"/>
    <sheet name="Beleg 1" sheetId="3" r:id="rId3"/>
    <sheet name="Beleg 2" sheetId="5" r:id="rId4"/>
    <sheet name="Beleg 3" sheetId="9" r:id="rId5"/>
    <sheet name="Beleg 4" sheetId="10" r:id="rId6"/>
    <sheet name="Beleg 5" sheetId="11" r:id="rId7"/>
  </sheets>
  <definedNames>
    <definedName name="_xlnm.Print_Area" localSheetId="2">'Beleg 1'!$E$1:$I$11</definedName>
    <definedName name="_xlnm.Print_Area" localSheetId="3">'Beleg 2'!$E$1:$I$11</definedName>
    <definedName name="_xlnm.Print_Area" localSheetId="4">'Beleg 3'!$E$1:$I$11</definedName>
    <definedName name="_xlnm.Print_Area" localSheetId="5">'Beleg 4'!$E$1:$I$11</definedName>
    <definedName name="_xlnm.Print_Area" localSheetId="6">'Beleg 5'!$E$1:$I$11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1" l="1"/>
  <c r="J66" i="1"/>
  <c r="J67" i="1"/>
  <c r="J68" i="1"/>
  <c r="J69" i="1"/>
  <c r="J70" i="1"/>
  <c r="J71" i="1"/>
  <c r="J72" i="1"/>
  <c r="J73" i="1"/>
  <c r="J64" i="1"/>
  <c r="J51" i="1"/>
  <c r="J52" i="1"/>
  <c r="J53" i="1"/>
  <c r="J54" i="1"/>
  <c r="J55" i="1"/>
  <c r="J56" i="1"/>
  <c r="J57" i="1"/>
  <c r="J58" i="1"/>
  <c r="J59" i="1"/>
  <c r="J50" i="1"/>
  <c r="J37" i="1"/>
  <c r="J38" i="1"/>
  <c r="J39" i="1"/>
  <c r="J40" i="1"/>
  <c r="J41" i="1"/>
  <c r="J42" i="1"/>
  <c r="J43" i="1"/>
  <c r="J44" i="1"/>
  <c r="J45" i="1"/>
  <c r="J36" i="1"/>
  <c r="R36" i="1" s="1"/>
  <c r="J23" i="1"/>
  <c r="R23" i="1" s="1"/>
  <c r="J24" i="1"/>
  <c r="J25" i="1"/>
  <c r="R25" i="1" s="1"/>
  <c r="J26" i="1"/>
  <c r="J27" i="1"/>
  <c r="J28" i="1"/>
  <c r="J29" i="1"/>
  <c r="J30" i="1"/>
  <c r="J31" i="1"/>
  <c r="J22" i="1"/>
  <c r="D73" i="1"/>
  <c r="S72" i="1"/>
  <c r="W72" i="1" s="1"/>
  <c r="D72" i="1"/>
  <c r="S71" i="1"/>
  <c r="W71" i="1" s="1"/>
  <c r="D71" i="1"/>
  <c r="S70" i="1"/>
  <c r="W70" i="1" s="1"/>
  <c r="D70" i="1"/>
  <c r="S69" i="1"/>
  <c r="W69" i="1" s="1"/>
  <c r="R69" i="1"/>
  <c r="D69" i="1"/>
  <c r="S68" i="1"/>
  <c r="V68" i="1" s="1"/>
  <c r="R68" i="1"/>
  <c r="D68" i="1"/>
  <c r="R67" i="1"/>
  <c r="D67" i="1"/>
  <c r="S66" i="1"/>
  <c r="W66" i="1" s="1"/>
  <c r="D66" i="1"/>
  <c r="S65" i="1"/>
  <c r="W65" i="1" s="1"/>
  <c r="D65" i="1"/>
  <c r="S64" i="1"/>
  <c r="U64" i="1" s="1"/>
  <c r="D64" i="1"/>
  <c r="D59" i="1"/>
  <c r="S58" i="1"/>
  <c r="W58" i="1" s="1"/>
  <c r="D58" i="1"/>
  <c r="S57" i="1"/>
  <c r="U57" i="1" s="1"/>
  <c r="D57" i="1"/>
  <c r="S56" i="1"/>
  <c r="U56" i="1" s="1"/>
  <c r="D56" i="1"/>
  <c r="S55" i="1"/>
  <c r="W55" i="1" s="1"/>
  <c r="D55" i="1"/>
  <c r="S54" i="1"/>
  <c r="U54" i="1" s="1"/>
  <c r="D54" i="1"/>
  <c r="D53" i="1"/>
  <c r="S52" i="1"/>
  <c r="W52" i="1" s="1"/>
  <c r="D52" i="1"/>
  <c r="V51" i="1"/>
  <c r="S51" i="1"/>
  <c r="W51" i="1" s="1"/>
  <c r="D51" i="1"/>
  <c r="S50" i="1"/>
  <c r="V50" i="1" s="1"/>
  <c r="D50" i="1"/>
  <c r="D45" i="1"/>
  <c r="S44" i="1"/>
  <c r="W44" i="1" s="1"/>
  <c r="D44" i="1"/>
  <c r="S43" i="1"/>
  <c r="W43" i="1" s="1"/>
  <c r="R43" i="1"/>
  <c r="D43" i="1"/>
  <c r="S42" i="1"/>
  <c r="W42" i="1" s="1"/>
  <c r="R42" i="1"/>
  <c r="D42" i="1"/>
  <c r="D41" i="1"/>
  <c r="D40" i="1"/>
  <c r="D39" i="1"/>
  <c r="D38" i="1"/>
  <c r="D37" i="1"/>
  <c r="S36" i="1"/>
  <c r="U36" i="1" s="1"/>
  <c r="D36" i="1"/>
  <c r="S31" i="1"/>
  <c r="D31" i="1"/>
  <c r="S30" i="1"/>
  <c r="D30" i="1"/>
  <c r="S29" i="1"/>
  <c r="W29" i="1" s="1"/>
  <c r="D29" i="1"/>
  <c r="S28" i="1"/>
  <c r="D28" i="1"/>
  <c r="D27" i="1"/>
  <c r="D26" i="1"/>
  <c r="D25" i="1"/>
  <c r="D24" i="1"/>
  <c r="D23" i="1"/>
  <c r="S22" i="1"/>
  <c r="D22" i="1"/>
  <c r="J16" i="1"/>
  <c r="D9" i="1"/>
  <c r="D10" i="1"/>
  <c r="D11" i="1"/>
  <c r="D12" i="1"/>
  <c r="D13" i="1"/>
  <c r="D14" i="1"/>
  <c r="D15" i="1"/>
  <c r="D16" i="1"/>
  <c r="D17" i="1"/>
  <c r="J14" i="1"/>
  <c r="J13" i="1"/>
  <c r="J15" i="1"/>
  <c r="S8" i="1"/>
  <c r="T8" i="1" s="1"/>
  <c r="U51" i="1" l="1"/>
  <c r="V64" i="1"/>
  <c r="U65" i="1"/>
  <c r="V65" i="1"/>
  <c r="U66" i="1"/>
  <c r="V66" i="1"/>
  <c r="U52" i="1"/>
  <c r="V52" i="1"/>
  <c r="L64" i="1"/>
  <c r="K64" i="1"/>
  <c r="M64" i="1"/>
  <c r="Q64" i="1"/>
  <c r="R73" i="1"/>
  <c r="M73" i="1"/>
  <c r="L73" i="1"/>
  <c r="K73" i="1"/>
  <c r="Q73" i="1"/>
  <c r="M72" i="1"/>
  <c r="L72" i="1"/>
  <c r="K72" i="1"/>
  <c r="N72" i="1" s="1"/>
  <c r="Q72" i="1"/>
  <c r="M71" i="1"/>
  <c r="L71" i="1"/>
  <c r="K71" i="1"/>
  <c r="Q71" i="1"/>
  <c r="R70" i="1"/>
  <c r="M70" i="1"/>
  <c r="L70" i="1"/>
  <c r="K70" i="1"/>
  <c r="Q70" i="1"/>
  <c r="M69" i="1"/>
  <c r="P69" i="1" s="1"/>
  <c r="L69" i="1"/>
  <c r="O69" i="1" s="1"/>
  <c r="K69" i="1"/>
  <c r="N69" i="1" s="1"/>
  <c r="Q69" i="1"/>
  <c r="R72" i="1"/>
  <c r="M68" i="1"/>
  <c r="P68" i="1" s="1"/>
  <c r="L68" i="1"/>
  <c r="O68" i="1" s="1"/>
  <c r="K68" i="1"/>
  <c r="N68" i="1" s="1"/>
  <c r="Q68" i="1"/>
  <c r="M67" i="1"/>
  <c r="L67" i="1"/>
  <c r="K67" i="1"/>
  <c r="N67" i="1" s="1"/>
  <c r="Q67" i="1"/>
  <c r="O67" i="1" s="1"/>
  <c r="R66" i="1"/>
  <c r="M66" i="1"/>
  <c r="L66" i="1"/>
  <c r="K66" i="1"/>
  <c r="Q66" i="1"/>
  <c r="M65" i="1"/>
  <c r="L65" i="1"/>
  <c r="K65" i="1"/>
  <c r="Q65" i="1"/>
  <c r="R56" i="1"/>
  <c r="M56" i="1"/>
  <c r="L56" i="1"/>
  <c r="K56" i="1"/>
  <c r="Q56" i="1"/>
  <c r="R55" i="1"/>
  <c r="M55" i="1"/>
  <c r="L55" i="1"/>
  <c r="K55" i="1"/>
  <c r="Q55" i="1"/>
  <c r="R58" i="1"/>
  <c r="M58" i="1"/>
  <c r="L58" i="1"/>
  <c r="O58" i="1" s="1"/>
  <c r="K58" i="1"/>
  <c r="N58" i="1" s="1"/>
  <c r="Q58" i="1"/>
  <c r="L54" i="1"/>
  <c r="M54" i="1"/>
  <c r="K54" i="1"/>
  <c r="Q54" i="1"/>
  <c r="M53" i="1"/>
  <c r="L53" i="1"/>
  <c r="K53" i="1"/>
  <c r="Q53" i="1"/>
  <c r="P53" i="1" s="1"/>
  <c r="O57" i="1"/>
  <c r="M57" i="1"/>
  <c r="P57" i="1" s="1"/>
  <c r="K57" i="1"/>
  <c r="L57" i="1"/>
  <c r="Q57" i="1"/>
  <c r="N57" i="1" s="1"/>
  <c r="L52" i="1"/>
  <c r="K52" i="1"/>
  <c r="M52" i="1"/>
  <c r="Q52" i="1"/>
  <c r="M51" i="1"/>
  <c r="L51" i="1"/>
  <c r="K51" i="1"/>
  <c r="Q51" i="1"/>
  <c r="R54" i="1"/>
  <c r="R59" i="1"/>
  <c r="M59" i="1"/>
  <c r="L59" i="1"/>
  <c r="K59" i="1"/>
  <c r="Q59" i="1"/>
  <c r="L50" i="1"/>
  <c r="K50" i="1"/>
  <c r="N50" i="1" s="1"/>
  <c r="M50" i="1"/>
  <c r="Q50" i="1"/>
  <c r="R57" i="1"/>
  <c r="M36" i="1"/>
  <c r="L36" i="1"/>
  <c r="K36" i="1"/>
  <c r="Q36" i="1"/>
  <c r="R45" i="1"/>
  <c r="M45" i="1"/>
  <c r="K45" i="1"/>
  <c r="L45" i="1"/>
  <c r="Q45" i="1"/>
  <c r="R44" i="1"/>
  <c r="M44" i="1"/>
  <c r="L44" i="1"/>
  <c r="K44" i="1"/>
  <c r="Q44" i="1"/>
  <c r="M43" i="1"/>
  <c r="L43" i="1"/>
  <c r="K43" i="1"/>
  <c r="Q43" i="1"/>
  <c r="M42" i="1"/>
  <c r="K42" i="1"/>
  <c r="L42" i="1"/>
  <c r="Q42" i="1"/>
  <c r="N42" i="1" s="1"/>
  <c r="R41" i="1"/>
  <c r="M41" i="1"/>
  <c r="L41" i="1"/>
  <c r="K41" i="1"/>
  <c r="Q41" i="1"/>
  <c r="R40" i="1"/>
  <c r="K40" i="1"/>
  <c r="M40" i="1"/>
  <c r="L40" i="1"/>
  <c r="Q40" i="1"/>
  <c r="L39" i="1"/>
  <c r="K39" i="1"/>
  <c r="M39" i="1"/>
  <c r="Q39" i="1"/>
  <c r="N39" i="1" s="1"/>
  <c r="L38" i="1"/>
  <c r="M38" i="1"/>
  <c r="K38" i="1"/>
  <c r="Q38" i="1"/>
  <c r="R37" i="1"/>
  <c r="L37" i="1"/>
  <c r="K37" i="1"/>
  <c r="M37" i="1"/>
  <c r="Q37" i="1"/>
  <c r="K28" i="1"/>
  <c r="M28" i="1"/>
  <c r="L28" i="1"/>
  <c r="Q28" i="1"/>
  <c r="R27" i="1"/>
  <c r="M27" i="1"/>
  <c r="L27" i="1"/>
  <c r="K27" i="1"/>
  <c r="Q27" i="1"/>
  <c r="R26" i="1"/>
  <c r="K26" i="1"/>
  <c r="N26" i="1" s="1"/>
  <c r="O26" i="1"/>
  <c r="M26" i="1"/>
  <c r="L26" i="1"/>
  <c r="Q26" i="1"/>
  <c r="M25" i="1"/>
  <c r="L25" i="1"/>
  <c r="O25" i="1" s="1"/>
  <c r="K25" i="1"/>
  <c r="N25" i="1" s="1"/>
  <c r="Q25" i="1"/>
  <c r="M24" i="1"/>
  <c r="K24" i="1"/>
  <c r="L24" i="1"/>
  <c r="Q24" i="1"/>
  <c r="M22" i="1"/>
  <c r="P22" i="1" s="1"/>
  <c r="L22" i="1"/>
  <c r="O22" i="1" s="1"/>
  <c r="K22" i="1"/>
  <c r="N22" i="1" s="1"/>
  <c r="Q22" i="1"/>
  <c r="M30" i="1"/>
  <c r="P30" i="1" s="1"/>
  <c r="L30" i="1"/>
  <c r="O30" i="1" s="1"/>
  <c r="K30" i="1"/>
  <c r="Q30" i="1"/>
  <c r="L31" i="1"/>
  <c r="M31" i="1"/>
  <c r="K31" i="1"/>
  <c r="Q31" i="1"/>
  <c r="O31" i="1" s="1"/>
  <c r="R29" i="1"/>
  <c r="L29" i="1"/>
  <c r="M29" i="1"/>
  <c r="P29" i="1" s="1"/>
  <c r="K29" i="1"/>
  <c r="Q29" i="1"/>
  <c r="O29" i="1" s="1"/>
  <c r="L23" i="1"/>
  <c r="K23" i="1"/>
  <c r="M23" i="1"/>
  <c r="Q23" i="1"/>
  <c r="P23" i="1" s="1"/>
  <c r="R24" i="1"/>
  <c r="M16" i="1"/>
  <c r="K16" i="1"/>
  <c r="L16" i="1"/>
  <c r="Q16" i="1"/>
  <c r="L15" i="1"/>
  <c r="K15" i="1"/>
  <c r="M15" i="1"/>
  <c r="M13" i="1"/>
  <c r="K13" i="1"/>
  <c r="L13" i="1"/>
  <c r="K14" i="1"/>
  <c r="L14" i="1"/>
  <c r="M14" i="1"/>
  <c r="V36" i="1"/>
  <c r="R71" i="1"/>
  <c r="R39" i="1"/>
  <c r="R38" i="1"/>
  <c r="R30" i="1"/>
  <c r="R28" i="1"/>
  <c r="V69" i="1"/>
  <c r="V70" i="1"/>
  <c r="U68" i="1"/>
  <c r="R65" i="1"/>
  <c r="U69" i="1"/>
  <c r="T64" i="1"/>
  <c r="U71" i="1"/>
  <c r="W68" i="1"/>
  <c r="R64" i="1"/>
  <c r="U70" i="1"/>
  <c r="V71" i="1"/>
  <c r="U72" i="1"/>
  <c r="V72" i="1"/>
  <c r="V54" i="1"/>
  <c r="W56" i="1"/>
  <c r="U58" i="1"/>
  <c r="V56" i="1"/>
  <c r="R50" i="1"/>
  <c r="T50" i="1"/>
  <c r="R52" i="1"/>
  <c r="U55" i="1"/>
  <c r="V57" i="1"/>
  <c r="W57" i="1"/>
  <c r="R51" i="1"/>
  <c r="U50" i="1"/>
  <c r="R53" i="1"/>
  <c r="V55" i="1"/>
  <c r="V58" i="1"/>
  <c r="W54" i="1"/>
  <c r="T36" i="1"/>
  <c r="S37" i="1" s="1"/>
  <c r="U42" i="1"/>
  <c r="V42" i="1"/>
  <c r="U43" i="1"/>
  <c r="V43" i="1"/>
  <c r="U44" i="1"/>
  <c r="V44" i="1"/>
  <c r="U28" i="1"/>
  <c r="R31" i="1"/>
  <c r="R22" i="1"/>
  <c r="T22" i="1"/>
  <c r="S23" i="1" s="1"/>
  <c r="U22" i="1"/>
  <c r="V22" i="1"/>
  <c r="V28" i="1"/>
  <c r="U29" i="1"/>
  <c r="V29" i="1"/>
  <c r="U30" i="1"/>
  <c r="V30" i="1"/>
  <c r="U31" i="1"/>
  <c r="V31" i="1"/>
  <c r="R16" i="1"/>
  <c r="R13" i="1"/>
  <c r="Q14" i="1"/>
  <c r="R14" i="1"/>
  <c r="Q13" i="1"/>
  <c r="Q15" i="1"/>
  <c r="R15" i="1"/>
  <c r="T9" i="1"/>
  <c r="S9" i="1"/>
  <c r="P72" i="1" l="1"/>
  <c r="N73" i="1"/>
  <c r="N65" i="1"/>
  <c r="O73" i="1"/>
  <c r="O65" i="1"/>
  <c r="P73" i="1"/>
  <c r="P65" i="1"/>
  <c r="O64" i="1"/>
  <c r="N66" i="1"/>
  <c r="P64" i="1"/>
  <c r="O66" i="1"/>
  <c r="N70" i="1"/>
  <c r="O72" i="1"/>
  <c r="P66" i="1"/>
  <c r="O70" i="1"/>
  <c r="P70" i="1"/>
  <c r="N71" i="1"/>
  <c r="O71" i="1"/>
  <c r="P71" i="1"/>
  <c r="P59" i="1"/>
  <c r="N54" i="1"/>
  <c r="P54" i="1"/>
  <c r="P56" i="1"/>
  <c r="O54" i="1"/>
  <c r="O56" i="1"/>
  <c r="N51" i="1"/>
  <c r="O51" i="1"/>
  <c r="P51" i="1"/>
  <c r="N59" i="1"/>
  <c r="P52" i="1"/>
  <c r="P58" i="1"/>
  <c r="N52" i="1"/>
  <c r="N53" i="1"/>
  <c r="O52" i="1"/>
  <c r="N55" i="1"/>
  <c r="N56" i="1"/>
  <c r="O59" i="1"/>
  <c r="O50" i="1"/>
  <c r="O55" i="1"/>
  <c r="P50" i="1"/>
  <c r="P55" i="1"/>
  <c r="N27" i="1"/>
  <c r="O27" i="1"/>
  <c r="N23" i="1"/>
  <c r="P27" i="1"/>
  <c r="O23" i="1"/>
  <c r="N28" i="1"/>
  <c r="P24" i="1"/>
  <c r="O28" i="1"/>
  <c r="P28" i="1"/>
  <c r="N24" i="1"/>
  <c r="N29" i="1"/>
  <c r="P31" i="1"/>
  <c r="P25" i="1"/>
  <c r="N31" i="1"/>
  <c r="O24" i="1"/>
  <c r="N30" i="1"/>
  <c r="P26" i="1"/>
  <c r="P42" i="1"/>
  <c r="P38" i="1"/>
  <c r="N43" i="1"/>
  <c r="O44" i="1"/>
  <c r="P44" i="1"/>
  <c r="O41" i="1"/>
  <c r="N38" i="1"/>
  <c r="O37" i="1"/>
  <c r="P67" i="1"/>
  <c r="N64" i="1"/>
  <c r="O53" i="1"/>
  <c r="O43" i="1"/>
  <c r="P43" i="1"/>
  <c r="O39" i="1"/>
  <c r="P40" i="1"/>
  <c r="N44" i="1"/>
  <c r="N40" i="1"/>
  <c r="P39" i="1"/>
  <c r="O45" i="1"/>
  <c r="N41" i="1"/>
  <c r="N45" i="1"/>
  <c r="P45" i="1"/>
  <c r="P41" i="1"/>
  <c r="P37" i="1"/>
  <c r="N36" i="1"/>
  <c r="O42" i="1"/>
  <c r="O36" i="1"/>
  <c r="O38" i="1"/>
  <c r="P36" i="1"/>
  <c r="O40" i="1"/>
  <c r="N37" i="1"/>
  <c r="V37" i="1"/>
  <c r="U37" i="1"/>
  <c r="V23" i="1"/>
  <c r="U23" i="1"/>
  <c r="T65" i="1"/>
  <c r="X64" i="1"/>
  <c r="F64" i="1" s="1"/>
  <c r="W64" i="1" s="1"/>
  <c r="T51" i="1"/>
  <c r="X50" i="1"/>
  <c r="X36" i="1"/>
  <c r="F36" i="1" s="1"/>
  <c r="W36" i="1" s="1"/>
  <c r="T37" i="1"/>
  <c r="S38" i="1" s="1"/>
  <c r="T23" i="1"/>
  <c r="S24" i="1" s="1"/>
  <c r="X22" i="1"/>
  <c r="F22" i="1" s="1"/>
  <c r="W22" i="1" s="1"/>
  <c r="T10" i="1"/>
  <c r="S11" i="1" s="1"/>
  <c r="S10" i="1"/>
  <c r="F50" i="1" l="1"/>
  <c r="W50" i="1" s="1"/>
  <c r="V38" i="1"/>
  <c r="U38" i="1"/>
  <c r="U24" i="1"/>
  <c r="V24" i="1"/>
  <c r="T66" i="1"/>
  <c r="S67" i="1" s="1"/>
  <c r="X65" i="1"/>
  <c r="F65" i="1" s="1"/>
  <c r="T52" i="1"/>
  <c r="S53" i="1" s="1"/>
  <c r="X51" i="1"/>
  <c r="F51" i="1" s="1"/>
  <c r="T38" i="1"/>
  <c r="S39" i="1" s="1"/>
  <c r="X37" i="1"/>
  <c r="F37" i="1" s="1"/>
  <c r="W37" i="1" s="1"/>
  <c r="X23" i="1"/>
  <c r="F23" i="1" s="1"/>
  <c r="W23" i="1" s="1"/>
  <c r="T24" i="1"/>
  <c r="S25" i="1" s="1"/>
  <c r="T11" i="1"/>
  <c r="V67" i="1" l="1"/>
  <c r="U67" i="1"/>
  <c r="V53" i="1"/>
  <c r="U53" i="1"/>
  <c r="V39" i="1"/>
  <c r="U39" i="1"/>
  <c r="U25" i="1"/>
  <c r="V25" i="1"/>
  <c r="X66" i="1"/>
  <c r="F66" i="1" s="1"/>
  <c r="T67" i="1"/>
  <c r="T53" i="1"/>
  <c r="X52" i="1"/>
  <c r="F52" i="1" s="1"/>
  <c r="T39" i="1"/>
  <c r="S40" i="1" s="1"/>
  <c r="X38" i="1"/>
  <c r="F38" i="1" s="1"/>
  <c r="W38" i="1" s="1"/>
  <c r="T25" i="1"/>
  <c r="S26" i="1" s="1"/>
  <c r="X24" i="1"/>
  <c r="F24" i="1" s="1"/>
  <c r="W24" i="1" s="1"/>
  <c r="T12" i="1"/>
  <c r="S12" i="1"/>
  <c r="U40" i="1" l="1"/>
  <c r="V40" i="1"/>
  <c r="U26" i="1"/>
  <c r="V26" i="1"/>
  <c r="X67" i="1"/>
  <c r="F67" i="1" s="1"/>
  <c r="W67" i="1" s="1"/>
  <c r="T68" i="1"/>
  <c r="X53" i="1"/>
  <c r="F53" i="1" s="1"/>
  <c r="W53" i="1" s="1"/>
  <c r="T54" i="1"/>
  <c r="X39" i="1"/>
  <c r="F39" i="1" s="1"/>
  <c r="W39" i="1" s="1"/>
  <c r="T40" i="1"/>
  <c r="S41" i="1" s="1"/>
  <c r="X25" i="1"/>
  <c r="F25" i="1" s="1"/>
  <c r="W25" i="1" s="1"/>
  <c r="T26" i="1"/>
  <c r="S27" i="1" s="1"/>
  <c r="T13" i="1"/>
  <c r="S13" i="1"/>
  <c r="V41" i="1" l="1"/>
  <c r="U41" i="1"/>
  <c r="V27" i="1"/>
  <c r="U27" i="1"/>
  <c r="X68" i="1"/>
  <c r="F68" i="1" s="1"/>
  <c r="T69" i="1"/>
  <c r="T55" i="1"/>
  <c r="X54" i="1"/>
  <c r="F54" i="1" s="1"/>
  <c r="X40" i="1"/>
  <c r="F40" i="1" s="1"/>
  <c r="W40" i="1" s="1"/>
  <c r="T41" i="1"/>
  <c r="X26" i="1"/>
  <c r="F26" i="1" s="1"/>
  <c r="W26" i="1" s="1"/>
  <c r="T27" i="1"/>
  <c r="U13" i="1"/>
  <c r="V13" i="1"/>
  <c r="S14" i="1"/>
  <c r="T14" i="1"/>
  <c r="S15" i="1" s="1"/>
  <c r="X13" i="1"/>
  <c r="F13" i="1" s="1"/>
  <c r="W13" i="1" s="1"/>
  <c r="X11" i="1"/>
  <c r="X10" i="1"/>
  <c r="X9" i="1"/>
  <c r="X8" i="1"/>
  <c r="U9" i="1"/>
  <c r="U10" i="1"/>
  <c r="U11" i="1"/>
  <c r="U12" i="1"/>
  <c r="J9" i="1"/>
  <c r="J10" i="1"/>
  <c r="J11" i="1"/>
  <c r="J12" i="1"/>
  <c r="J17" i="1"/>
  <c r="J8" i="1"/>
  <c r="C74" i="1"/>
  <c r="D8" i="1"/>
  <c r="I1" i="11"/>
  <c r="I1" i="10"/>
  <c r="I1" i="9"/>
  <c r="I1" i="5"/>
  <c r="I1" i="3"/>
  <c r="C18" i="1"/>
  <c r="C32" i="1"/>
  <c r="C46" i="1"/>
  <c r="C60" i="1"/>
  <c r="X6" i="1"/>
  <c r="V15" i="1" l="1"/>
  <c r="U15" i="1"/>
  <c r="M8" i="1"/>
  <c r="L8" i="1"/>
  <c r="K8" i="1"/>
  <c r="L12" i="1"/>
  <c r="K12" i="1"/>
  <c r="M12" i="1"/>
  <c r="M9" i="1"/>
  <c r="K9" i="1"/>
  <c r="L9" i="1"/>
  <c r="M10" i="1"/>
  <c r="K10" i="1"/>
  <c r="L10" i="1"/>
  <c r="M17" i="1"/>
  <c r="L17" i="1"/>
  <c r="K17" i="1"/>
  <c r="K11" i="1"/>
  <c r="L11" i="1"/>
  <c r="M11" i="1"/>
  <c r="X69" i="1"/>
  <c r="F69" i="1" s="1"/>
  <c r="T70" i="1"/>
  <c r="X55" i="1"/>
  <c r="F55" i="1" s="1"/>
  <c r="T56" i="1"/>
  <c r="X41" i="1"/>
  <c r="F41" i="1" s="1"/>
  <c r="W41" i="1" s="1"/>
  <c r="T42" i="1"/>
  <c r="X27" i="1"/>
  <c r="F27" i="1" s="1"/>
  <c r="W27" i="1" s="1"/>
  <c r="T28" i="1"/>
  <c r="R8" i="1"/>
  <c r="Q12" i="1"/>
  <c r="R10" i="1"/>
  <c r="T15" i="1"/>
  <c r="S16" i="1" s="1"/>
  <c r="X14" i="1"/>
  <c r="F14" i="1" s="1"/>
  <c r="W14" i="1" s="1"/>
  <c r="V14" i="1"/>
  <c r="U14" i="1"/>
  <c r="R12" i="1"/>
  <c r="R17" i="1"/>
  <c r="R11" i="1"/>
  <c r="R9" i="1"/>
  <c r="V12" i="1"/>
  <c r="V11" i="1"/>
  <c r="V10" i="1"/>
  <c r="V9" i="1"/>
  <c r="Q11" i="1"/>
  <c r="X20" i="1"/>
  <c r="Q17" i="1"/>
  <c r="Q10" i="1"/>
  <c r="Q9" i="1"/>
  <c r="Q8" i="1"/>
  <c r="U16" i="1" l="1"/>
  <c r="V16" i="1"/>
  <c r="X70" i="1"/>
  <c r="F70" i="1" s="1"/>
  <c r="T71" i="1"/>
  <c r="T57" i="1"/>
  <c r="X56" i="1"/>
  <c r="F56" i="1" s="1"/>
  <c r="X42" i="1"/>
  <c r="F42" i="1" s="1"/>
  <c r="T43" i="1"/>
  <c r="X28" i="1"/>
  <c r="F28" i="1" s="1"/>
  <c r="W28" i="1" s="1"/>
  <c r="T29" i="1"/>
  <c r="T16" i="1"/>
  <c r="S17" i="1" s="1"/>
  <c r="X15" i="1"/>
  <c r="F15" i="1" s="1"/>
  <c r="W15" i="1" s="1"/>
  <c r="X34" i="1"/>
  <c r="E8" i="1"/>
  <c r="U17" i="1" l="1"/>
  <c r="V17" i="1"/>
  <c r="X71" i="1"/>
  <c r="F71" i="1" s="1"/>
  <c r="T72" i="1"/>
  <c r="S73" i="1" s="1"/>
  <c r="X57" i="1"/>
  <c r="F57" i="1" s="1"/>
  <c r="T58" i="1"/>
  <c r="S59" i="1" s="1"/>
  <c r="X43" i="1"/>
  <c r="F43" i="1" s="1"/>
  <c r="T44" i="1"/>
  <c r="S45" i="1" s="1"/>
  <c r="X29" i="1"/>
  <c r="F29" i="1" s="1"/>
  <c r="T30" i="1"/>
  <c r="X16" i="1"/>
  <c r="F16" i="1" s="1"/>
  <c r="W16" i="1" s="1"/>
  <c r="T17" i="1"/>
  <c r="X48" i="1"/>
  <c r="F11" i="11"/>
  <c r="F11" i="10"/>
  <c r="F11" i="9"/>
  <c r="F11" i="5"/>
  <c r="V73" i="1" l="1"/>
  <c r="U73" i="1"/>
  <c r="U59" i="1"/>
  <c r="V59" i="1"/>
  <c r="V45" i="1"/>
  <c r="U45" i="1"/>
  <c r="T73" i="1"/>
  <c r="X73" i="1" s="1"/>
  <c r="F73" i="1" s="1"/>
  <c r="W73" i="1" s="1"/>
  <c r="X72" i="1"/>
  <c r="F72" i="1" s="1"/>
  <c r="X58" i="1"/>
  <c r="F58" i="1" s="1"/>
  <c r="T59" i="1"/>
  <c r="X59" i="1" s="1"/>
  <c r="F59" i="1" s="1"/>
  <c r="W59" i="1" s="1"/>
  <c r="X44" i="1"/>
  <c r="F44" i="1" s="1"/>
  <c r="T45" i="1"/>
  <c r="X45" i="1" s="1"/>
  <c r="F45" i="1" s="1"/>
  <c r="W45" i="1" s="1"/>
  <c r="X30" i="1"/>
  <c r="F30" i="1" s="1"/>
  <c r="W30" i="1" s="1"/>
  <c r="T31" i="1"/>
  <c r="X31" i="1" s="1"/>
  <c r="F31" i="1" s="1"/>
  <c r="W31" i="1" s="1"/>
  <c r="X62" i="1"/>
  <c r="F11" i="3" l="1"/>
  <c r="E11" i="5"/>
  <c r="E11" i="3"/>
  <c r="E11" i="11" l="1"/>
  <c r="E11" i="9"/>
  <c r="E11" i="10" l="1"/>
  <c r="E9" i="1" l="1"/>
  <c r="E10" i="1" s="1"/>
  <c r="E11" i="1" s="1"/>
  <c r="E12" i="1" s="1"/>
  <c r="E13" i="1" s="1"/>
  <c r="G8" i="1"/>
  <c r="N8" i="1" s="1"/>
  <c r="U8" i="1"/>
  <c r="B6" i="3" s="1"/>
  <c r="V8" i="1"/>
  <c r="H8" i="1"/>
  <c r="O8" i="1" s="1"/>
  <c r="I8" i="1"/>
  <c r="P8" i="1" s="1"/>
  <c r="E14" i="1" l="1"/>
  <c r="E15" i="1" s="1"/>
  <c r="E16" i="1" s="1"/>
  <c r="E17" i="1" s="1"/>
  <c r="E22" i="1" s="1"/>
  <c r="I13" i="1"/>
  <c r="P13" i="1" s="1"/>
  <c r="G13" i="1"/>
  <c r="N13" i="1" s="1"/>
  <c r="H13" i="1"/>
  <c r="O13" i="1" s="1"/>
  <c r="G14" i="1"/>
  <c r="N14" i="1" s="1"/>
  <c r="H14" i="1"/>
  <c r="O14" i="1" s="1"/>
  <c r="I14" i="1"/>
  <c r="P14" i="1" s="1"/>
  <c r="X12" i="1"/>
  <c r="G9" i="1"/>
  <c r="N9" i="1" s="1"/>
  <c r="H9" i="1"/>
  <c r="O9" i="1" s="1"/>
  <c r="I9" i="1"/>
  <c r="P9" i="1" s="1"/>
  <c r="F8" i="1"/>
  <c r="I22" i="1" l="1"/>
  <c r="E23" i="1"/>
  <c r="G22" i="1"/>
  <c r="H22" i="1"/>
  <c r="G15" i="1"/>
  <c r="N15" i="1" s="1"/>
  <c r="H15" i="1"/>
  <c r="O15" i="1" s="1"/>
  <c r="I15" i="1"/>
  <c r="P15" i="1" s="1"/>
  <c r="X17" i="1"/>
  <c r="G10" i="1"/>
  <c r="N10" i="1" s="1"/>
  <c r="H10" i="1"/>
  <c r="O10" i="1" s="1"/>
  <c r="I10" i="1"/>
  <c r="P10" i="1" s="1"/>
  <c r="W8" i="1"/>
  <c r="I23" i="1" l="1"/>
  <c r="E24" i="1"/>
  <c r="G23" i="1"/>
  <c r="H23" i="1"/>
  <c r="G16" i="1"/>
  <c r="N16" i="1" s="1"/>
  <c r="H16" i="1"/>
  <c r="O16" i="1" s="1"/>
  <c r="I16" i="1"/>
  <c r="P16" i="1" s="1"/>
  <c r="G12" i="1"/>
  <c r="N12" i="1" s="1"/>
  <c r="H12" i="1"/>
  <c r="O12" i="1" s="1"/>
  <c r="I12" i="1"/>
  <c r="P12" i="1" s="1"/>
  <c r="H11" i="1"/>
  <c r="O11" i="1" s="1"/>
  <c r="I11" i="1"/>
  <c r="P11" i="1" s="1"/>
  <c r="G11" i="1"/>
  <c r="N11" i="1" s="1"/>
  <c r="F9" i="1"/>
  <c r="W9" i="1" s="1"/>
  <c r="F10" i="1"/>
  <c r="W10" i="1" s="1"/>
  <c r="F11" i="1"/>
  <c r="W11" i="1" s="1"/>
  <c r="B6" i="11"/>
  <c r="G6" i="11" s="1"/>
  <c r="C6" i="11"/>
  <c r="C7" i="11"/>
  <c r="H7" i="11" s="1"/>
  <c r="B7" i="10"/>
  <c r="G7" i="10" s="1"/>
  <c r="B6" i="10"/>
  <c r="G6" i="10" s="1"/>
  <c r="C6" i="10"/>
  <c r="H6" i="10" s="1"/>
  <c r="C8" i="10"/>
  <c r="H8" i="10" s="1"/>
  <c r="C6" i="9"/>
  <c r="B6" i="9"/>
  <c r="B8" i="5"/>
  <c r="C6" i="5"/>
  <c r="B6" i="5"/>
  <c r="C8" i="11"/>
  <c r="H8" i="11" s="1"/>
  <c r="B8" i="11"/>
  <c r="G8" i="11" s="1"/>
  <c r="B8" i="10"/>
  <c r="G8" i="10" s="1"/>
  <c r="B8" i="9"/>
  <c r="C8" i="9"/>
  <c r="H8" i="9" s="1"/>
  <c r="C8" i="5"/>
  <c r="B7" i="11"/>
  <c r="G7" i="11" s="1"/>
  <c r="C7" i="9"/>
  <c r="C7" i="5"/>
  <c r="B7" i="5"/>
  <c r="G7" i="5" s="1"/>
  <c r="G24" i="1" l="1"/>
  <c r="I24" i="1"/>
  <c r="H24" i="1"/>
  <c r="E25" i="1"/>
  <c r="F12" i="1"/>
  <c r="W12" i="1" s="1"/>
  <c r="I17" i="1"/>
  <c r="P17" i="1" s="1"/>
  <c r="G17" i="1"/>
  <c r="N17" i="1" s="1"/>
  <c r="H17" i="1"/>
  <c r="O17" i="1" s="1"/>
  <c r="C7" i="10"/>
  <c r="H7" i="10" s="1"/>
  <c r="B7" i="9"/>
  <c r="G7" i="9" s="1"/>
  <c r="F17" i="1"/>
  <c r="W17" i="1" s="1"/>
  <c r="H7" i="9"/>
  <c r="H6" i="11"/>
  <c r="G6" i="5"/>
  <c r="H6" i="5"/>
  <c r="H7" i="5"/>
  <c r="H8" i="5"/>
  <c r="G8" i="5"/>
  <c r="G6" i="9"/>
  <c r="H6" i="9"/>
  <c r="G8" i="9"/>
  <c r="G6" i="3"/>
  <c r="H25" i="1" l="1"/>
  <c r="G25" i="1"/>
  <c r="I25" i="1"/>
  <c r="E26" i="1"/>
  <c r="F18" i="1"/>
  <c r="D6" i="3"/>
  <c r="I6" i="3" s="1"/>
  <c r="C6" i="3"/>
  <c r="H6" i="3" s="1"/>
  <c r="B7" i="3"/>
  <c r="G7" i="3" s="1"/>
  <c r="C7" i="3"/>
  <c r="H7" i="3" s="1"/>
  <c r="C8" i="3"/>
  <c r="H8" i="3" s="1"/>
  <c r="B8" i="3"/>
  <c r="G8" i="3" s="1"/>
  <c r="I26" i="1" l="1"/>
  <c r="H26" i="1"/>
  <c r="E27" i="1"/>
  <c r="G26" i="1"/>
  <c r="D6" i="5"/>
  <c r="D8" i="3"/>
  <c r="I8" i="3" s="1"/>
  <c r="D7" i="3"/>
  <c r="I7" i="3" s="1"/>
  <c r="H27" i="1" l="1"/>
  <c r="E28" i="1"/>
  <c r="I27" i="1"/>
  <c r="G27" i="1"/>
  <c r="H3" i="3"/>
  <c r="G28" i="1" l="1"/>
  <c r="I28" i="1"/>
  <c r="E29" i="1"/>
  <c r="H28" i="1"/>
  <c r="D8" i="5"/>
  <c r="E30" i="1" l="1"/>
  <c r="I29" i="1"/>
  <c r="H29" i="1"/>
  <c r="G29" i="1"/>
  <c r="F32" i="1"/>
  <c r="I6" i="5"/>
  <c r="D7" i="5"/>
  <c r="I7" i="5" s="1"/>
  <c r="I8" i="5"/>
  <c r="H30" i="1" l="1"/>
  <c r="E31" i="1"/>
  <c r="I30" i="1"/>
  <c r="G30" i="1"/>
  <c r="H3" i="5"/>
  <c r="E36" i="1" l="1"/>
  <c r="G31" i="1"/>
  <c r="I31" i="1"/>
  <c r="H31" i="1"/>
  <c r="D6" i="9"/>
  <c r="I6" i="9" s="1"/>
  <c r="I36" i="1" l="1"/>
  <c r="H36" i="1"/>
  <c r="E37" i="1"/>
  <c r="G36" i="1"/>
  <c r="D7" i="9"/>
  <c r="I7" i="9" s="1"/>
  <c r="D8" i="9"/>
  <c r="I8" i="9" s="1"/>
  <c r="I37" i="1" l="1"/>
  <c r="G37" i="1"/>
  <c r="H37" i="1"/>
  <c r="E38" i="1"/>
  <c r="H3" i="9"/>
  <c r="F46" i="1"/>
  <c r="H38" i="1" l="1"/>
  <c r="G38" i="1"/>
  <c r="E39" i="1"/>
  <c r="I38" i="1"/>
  <c r="D6" i="10"/>
  <c r="I6" i="10" s="1"/>
  <c r="I39" i="1" l="1"/>
  <c r="H39" i="1"/>
  <c r="G39" i="1"/>
  <c r="E40" i="1"/>
  <c r="D7" i="10"/>
  <c r="I7" i="10" s="1"/>
  <c r="E41" i="1" l="1"/>
  <c r="I40" i="1"/>
  <c r="G40" i="1"/>
  <c r="H40" i="1"/>
  <c r="D8" i="10"/>
  <c r="I8" i="10" s="1"/>
  <c r="H3" i="10" s="1"/>
  <c r="F60" i="1"/>
  <c r="E42" i="1" l="1"/>
  <c r="G41" i="1"/>
  <c r="I41" i="1"/>
  <c r="H41" i="1"/>
  <c r="D7" i="11"/>
  <c r="I7" i="11" s="1"/>
  <c r="D6" i="11"/>
  <c r="I6" i="11" s="1"/>
  <c r="H42" i="1" l="1"/>
  <c r="E43" i="1"/>
  <c r="G42" i="1"/>
  <c r="I42" i="1"/>
  <c r="D8" i="11"/>
  <c r="I8" i="11" s="1"/>
  <c r="H3" i="11" s="1"/>
  <c r="G43" i="1" l="1"/>
  <c r="H43" i="1"/>
  <c r="E44" i="1"/>
  <c r="I43" i="1"/>
  <c r="F74" i="1"/>
  <c r="G44" i="1" l="1"/>
  <c r="E45" i="1"/>
  <c r="H44" i="1"/>
  <c r="I44" i="1"/>
  <c r="O76" i="1"/>
  <c r="N76" i="1"/>
  <c r="P76" i="1"/>
  <c r="E50" i="1" l="1"/>
  <c r="I45" i="1"/>
  <c r="G45" i="1"/>
  <c r="H45" i="1"/>
  <c r="H50" i="1" l="1"/>
  <c r="E51" i="1"/>
  <c r="G50" i="1"/>
  <c r="I50" i="1"/>
  <c r="G51" i="1" l="1"/>
  <c r="E52" i="1"/>
  <c r="I51" i="1"/>
  <c r="H51" i="1"/>
  <c r="G52" i="1" l="1"/>
  <c r="I52" i="1"/>
  <c r="E53" i="1"/>
  <c r="H52" i="1"/>
  <c r="H53" i="1" l="1"/>
  <c r="E54" i="1"/>
  <c r="G53" i="1"/>
  <c r="I53" i="1"/>
  <c r="I54" i="1" l="1"/>
  <c r="G54" i="1"/>
  <c r="H54" i="1"/>
  <c r="E55" i="1"/>
  <c r="I55" i="1" l="1"/>
  <c r="E56" i="1"/>
  <c r="H55" i="1"/>
  <c r="G55" i="1"/>
  <c r="I56" i="1" l="1"/>
  <c r="E57" i="1"/>
  <c r="H56" i="1"/>
  <c r="G56" i="1"/>
  <c r="E58" i="1" l="1"/>
  <c r="G57" i="1"/>
  <c r="I57" i="1"/>
  <c r="H57" i="1"/>
  <c r="E59" i="1" l="1"/>
  <c r="I58" i="1"/>
  <c r="H58" i="1"/>
  <c r="G58" i="1"/>
  <c r="E64" i="1" l="1"/>
  <c r="G59" i="1"/>
  <c r="H59" i="1"/>
  <c r="I59" i="1"/>
  <c r="I64" i="1" l="1"/>
  <c r="G64" i="1"/>
  <c r="H64" i="1"/>
  <c r="E65" i="1"/>
  <c r="E66" i="1" l="1"/>
  <c r="I65" i="1"/>
  <c r="H65" i="1"/>
  <c r="G65" i="1"/>
  <c r="I66" i="1" l="1"/>
  <c r="H66" i="1"/>
  <c r="G66" i="1"/>
  <c r="E67" i="1"/>
  <c r="E68" i="1" l="1"/>
  <c r="I67" i="1"/>
  <c r="H67" i="1"/>
  <c r="G67" i="1"/>
  <c r="I68" i="1" l="1"/>
  <c r="H68" i="1"/>
  <c r="G68" i="1"/>
  <c r="E69" i="1"/>
  <c r="H69" i="1" l="1"/>
  <c r="G69" i="1"/>
  <c r="I69" i="1"/>
  <c r="E70" i="1"/>
  <c r="G70" i="1" l="1"/>
  <c r="H70" i="1"/>
  <c r="E71" i="1"/>
  <c r="I70" i="1"/>
  <c r="E72" i="1" l="1"/>
  <c r="G71" i="1"/>
  <c r="H71" i="1"/>
  <c r="I71" i="1"/>
  <c r="G72" i="1" l="1"/>
  <c r="I72" i="1"/>
  <c r="E73" i="1"/>
  <c r="H72" i="1"/>
  <c r="I73" i="1" l="1"/>
  <c r="I76" i="1" s="1"/>
  <c r="H73" i="1"/>
  <c r="H76" i="1" s="1"/>
  <c r="G73" i="1"/>
  <c r="G76" i="1" s="1"/>
</calcChain>
</file>

<file path=xl/sharedStrings.xml><?xml version="1.0" encoding="utf-8"?>
<sst xmlns="http://schemas.openxmlformats.org/spreadsheetml/2006/main" count="184" uniqueCount="64">
  <si>
    <t>PZN</t>
  </si>
  <si>
    <t>Faktor</t>
  </si>
  <si>
    <t>Preis</t>
  </si>
  <si>
    <t>VAXZEVRIA COVID-19-Impfstoff AstraZeneca BUND</t>
  </si>
  <si>
    <t>Produkt</t>
  </si>
  <si>
    <t>Summe</t>
  </si>
  <si>
    <t>Apotheken-IK</t>
  </si>
  <si>
    <t>Apothekenname</t>
  </si>
  <si>
    <t>Arzt</t>
  </si>
  <si>
    <t>101 - 150 Stk</t>
  </si>
  <si>
    <t>&gt; 150 Stk</t>
  </si>
  <si>
    <t>Position</t>
  </si>
  <si>
    <t>max. Position</t>
  </si>
  <si>
    <t>POS</t>
  </si>
  <si>
    <t>Taxe</t>
  </si>
  <si>
    <t>Abgabedatum</t>
  </si>
  <si>
    <t>Impfbesteck</t>
  </si>
  <si>
    <t>Großhandel</t>
  </si>
  <si>
    <t>Vergütungsminderung Großhandel ab</t>
  </si>
  <si>
    <t>Vials</t>
  </si>
  <si>
    <t>Gesamtpreis (Brutto)</t>
  </si>
  <si>
    <t>Beleg 1</t>
  </si>
  <si>
    <t>Beleg 2</t>
  </si>
  <si>
    <t>Beleg 3</t>
  </si>
  <si>
    <t>Beleg 4</t>
  </si>
  <si>
    <t>Beleg 5</t>
  </si>
  <si>
    <t>&lt;= 100 Stk</t>
  </si>
  <si>
    <t>1.</t>
  </si>
  <si>
    <t>2.</t>
  </si>
  <si>
    <t>Prozess</t>
  </si>
  <si>
    <t>Ø</t>
  </si>
  <si>
    <t>3.</t>
  </si>
  <si>
    <t>Ausfüllen der Tabelle</t>
  </si>
  <si>
    <t>Der Faktor ist dabei jeweils die Anzahl der abgegebenen Vials.</t>
  </si>
  <si>
    <t>Die Apotheke trägt in die EXCEL-Datei ihr IK und ihren Apothekennamen in das Tabellenblatt "Datenerfassung" ein und speichert die Datei als Apotheken-Vorlage ab.</t>
  </si>
  <si>
    <t>Ausgefüllt werden ausschließlich die weißen Felder im Reiter "Datenerfassung" (Abgabedatum und Faktor). Alle anderen Felder sind für die Erfassung gesperrt.</t>
  </si>
  <si>
    <t>Unter den Reitern "Beleg 1" bis "Beleg 5" finden sich die Druckvorlagen für den Apothekenteil der bis zu 5 Impfstoffbelege für diesen Monat, die auf das jeweilige (Muster-16) Formular gedruckt werden müssen.</t>
  </si>
  <si>
    <t>Vergütungsanpassung Apotheke ab</t>
  </si>
  <si>
    <t>Einzelpreis (Netto)</t>
  </si>
  <si>
    <t>Netto</t>
  </si>
  <si>
    <t>Erstes mögliches Datum</t>
  </si>
  <si>
    <t>gerundet</t>
  </si>
  <si>
    <t>kumuliert</t>
  </si>
  <si>
    <t>Es wird ein Verzeichnis "Vorlagen" angelegt. Je Arzt wird eine Kopie der Dateivorlage eingestellt und mit dem Namen des Arztes oder mit dessen Fortbildungsnummer benannt. Der Name und/oder die Fortbildungsnummer des Arztes wird in die neue Dateivorlage in das Tabellenblatt "Datenerfassung" eingetragen. Somit ist am Ende im Vorlagenverzeichnis für jeden bekannten Arzt eine Vorlage vorhanden.</t>
  </si>
  <si>
    <t xml:space="preserve">Wird ein neuer Arzt beliefert, wird zunächst eine neue Vorlage im Vorlagenverzeichnis angelegt und danach ins entsprechende Monatsverzeichnis kopiert. </t>
  </si>
  <si>
    <t>Es müssen alle Impfstoffbelege, für die in einem Monat an einen Arzt Impfstoffe abgegeben wurden, in einer Tabelle unter dem Reiter „Datenerfassung“ erfasst werden. Nur so kann die Preisstaffel korrekt berechnet werden.</t>
  </si>
  <si>
    <t>EXCEL-Tabelle erstellt werden.</t>
  </si>
  <si>
    <t>Für den ersten belieferten Impfstoffbeleg werden die Faktorfelder unter der Überschrift „Beleg 1“ ausgefüllt, für den zweiten belieferten Impfstoffbeleg werden die Faktorfelder unter der Überschrift „Beleg 2“ ausgefüllt, für das dritte die unter Impfstoffbeleg 3 usw.</t>
  </si>
  <si>
    <t>Änderung Impfbesteck</t>
  </si>
  <si>
    <t>SPIKEVAX COVID-19-Impfstoff Moderna BUND</t>
  </si>
  <si>
    <t>"Impfstoffvergütung Betriebsärzte, Ärzte des Öffentlichen Gesundheitsdienstes/</t>
  </si>
  <si>
    <t>der Impfzentren/der mobilen Impfteams (ÖGD), Ärzte in Krankenhäusern"</t>
  </si>
  <si>
    <r>
      <rPr>
        <b/>
        <u/>
        <sz val="11"/>
        <color theme="1"/>
        <rFont val="Calibri"/>
        <family val="2"/>
        <scheme val="minor"/>
      </rPr>
      <t>WICHTIG:</t>
    </r>
    <r>
      <rPr>
        <sz val="11"/>
        <color theme="1"/>
        <rFont val="Calibri"/>
        <family val="2"/>
        <scheme val="minor"/>
      </rPr>
      <t xml:space="preserve"> Es muss je Betriebsarzt, Arzt des ÖGD, Krankenhausarzt (im Folgenden nur "Arzt" genannt) und Monat eine </t>
    </r>
  </si>
  <si>
    <t>COMIRNATY 10 µg BioNTECH Kinder 5-11 Jahre BUND</t>
  </si>
  <si>
    <t>2. Änderung Impfbesteck</t>
  </si>
  <si>
    <t>Nun wird je Monat ein Verzeichnis angelegt (z.B. November_2021). Aus dem Vorlagenverzeichnis wird die entsprechende Arzt-Vorlage in das  Monatsverzeichnis kopiert und ausgefüllt (Abgabedatum und Faktor).</t>
  </si>
  <si>
    <t>COMIRNATY 30 µg/Dosis BioNTech BUND</t>
  </si>
  <si>
    <t>JCOVDEN COVID-19 VACC Janssen Inj.-Suspension BUND</t>
  </si>
  <si>
    <t>NUVAXOVID COVID-19 VACC NOVAVAX BUND Inj.-Disp.</t>
  </si>
  <si>
    <t>COMIRNATY ORIG/BA1 BUND</t>
  </si>
  <si>
    <t>COMIRNATY ORIG/BA5 BUND</t>
  </si>
  <si>
    <t>SPIKEVAX ORIG/BA1 BUND</t>
  </si>
  <si>
    <t>COVID-19-Vaccine inakt. adjuvant. VALNEVA BUND</t>
  </si>
  <si>
    <t>Anleitung zur Taxierungshilfe (Version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</si>
</sst>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ourier New"/>
      <family val="3"/>
    </font>
    <font>
      <sz val="10"/>
      <color theme="1"/>
      <name val="Courier New"/>
      <family val="3"/>
    </font>
    <font>
      <b/>
      <sz val="18"/>
      <color theme="1"/>
      <name val="Calibri"/>
      <family val="2"/>
      <scheme val="minor"/>
    </font>
    <font>
      <sz val="11"/>
      <color theme="1"/>
      <name val="Wingdings"/>
      <charset val="2"/>
    </font>
    <font>
      <b/>
      <u/>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0" fillId="2" borderId="0" xfId="0" applyFill="1"/>
    <xf numFmtId="0" fontId="2" fillId="2" borderId="1" xfId="0" applyFont="1" applyFill="1" applyBorder="1"/>
    <xf numFmtId="0" fontId="0" fillId="2" borderId="1" xfId="0" applyFill="1" applyBorder="1"/>
    <xf numFmtId="0" fontId="4" fillId="0" borderId="0" xfId="0" applyFont="1"/>
    <xf numFmtId="0" fontId="4" fillId="0" borderId="0" xfId="0" applyFont="1" applyAlignment="1">
      <alignment vertical="center"/>
    </xf>
    <xf numFmtId="0" fontId="0" fillId="2" borderId="2" xfId="0" applyFont="1" applyFill="1" applyBorder="1" applyAlignment="1">
      <alignment horizontal="right"/>
    </xf>
    <xf numFmtId="0" fontId="0" fillId="2" borderId="0" xfId="0" applyFont="1" applyFill="1"/>
    <xf numFmtId="0" fontId="0" fillId="2" borderId="1" xfId="0" applyFont="1" applyFill="1" applyBorder="1"/>
    <xf numFmtId="0" fontId="0" fillId="0" borderId="0" xfId="0" applyFont="1"/>
    <xf numFmtId="0" fontId="2" fillId="0" borderId="0" xfId="0" applyFont="1"/>
    <xf numFmtId="44" fontId="1" fillId="2" borderId="1" xfId="1" applyFont="1" applyFill="1" applyBorder="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Font="1" applyAlignment="1">
      <alignment vertical="center"/>
    </xf>
    <xf numFmtId="0" fontId="5" fillId="0" borderId="0" xfId="0" applyFont="1" applyFill="1" applyBorder="1" applyAlignment="1">
      <alignment vertical="center"/>
    </xf>
    <xf numFmtId="1" fontId="5" fillId="0" borderId="0" xfId="0" applyNumberFormat="1" applyFont="1" applyAlignment="1">
      <alignment vertical="center"/>
    </xf>
    <xf numFmtId="164" fontId="5" fillId="0" borderId="0" xfId="0" applyNumberFormat="1" applyFont="1"/>
    <xf numFmtId="0" fontId="5" fillId="0" borderId="0" xfId="0" applyFont="1" applyAlignment="1">
      <alignment horizontal="left" vertical="center"/>
    </xf>
    <xf numFmtId="44" fontId="0" fillId="0" borderId="0" xfId="0" applyNumberFormat="1" applyFont="1"/>
    <xf numFmtId="0" fontId="5" fillId="0" borderId="0" xfId="0" applyFont="1" applyAlignment="1">
      <alignment horizontal="center"/>
    </xf>
    <xf numFmtId="0" fontId="7" fillId="0" borderId="0" xfId="0" applyFont="1" applyAlignment="1">
      <alignment vertical="top"/>
    </xf>
    <xf numFmtId="0" fontId="0" fillId="0" borderId="0" xfId="0" applyAlignment="1">
      <alignment vertical="top" wrapText="1"/>
    </xf>
    <xf numFmtId="0" fontId="0" fillId="0" borderId="0" xfId="0" applyAlignment="1">
      <alignment vertical="top"/>
    </xf>
    <xf numFmtId="0" fontId="5" fillId="4" borderId="0" xfId="0" applyFont="1" applyFill="1"/>
    <xf numFmtId="0" fontId="5" fillId="4" borderId="0" xfId="0" applyFont="1" applyFill="1" applyAlignment="1">
      <alignment vertical="center"/>
    </xf>
    <xf numFmtId="0" fontId="5" fillId="4" borderId="1" xfId="0" applyFont="1" applyFill="1" applyBorder="1" applyAlignment="1">
      <alignment vertical="center"/>
    </xf>
    <xf numFmtId="0" fontId="0" fillId="5" borderId="0" xfId="0" applyFont="1" applyFill="1"/>
    <xf numFmtId="0" fontId="0" fillId="5" borderId="2" xfId="0" applyFont="1" applyFill="1" applyBorder="1" applyAlignment="1">
      <alignment horizontal="right"/>
    </xf>
    <xf numFmtId="0" fontId="0" fillId="5" borderId="2" xfId="0" applyFont="1" applyFill="1" applyBorder="1" applyAlignment="1"/>
    <xf numFmtId="0" fontId="2" fillId="5" borderId="1" xfId="0" applyFont="1" applyFill="1" applyBorder="1"/>
    <xf numFmtId="0" fontId="0" fillId="5" borderId="1" xfId="0" applyFont="1" applyFill="1" applyBorder="1"/>
    <xf numFmtId="0" fontId="0" fillId="5" borderId="0" xfId="0" applyFill="1"/>
    <xf numFmtId="14" fontId="0" fillId="5" borderId="0" xfId="0" applyNumberFormat="1" applyFill="1"/>
    <xf numFmtId="44" fontId="0" fillId="5" borderId="0" xfId="1" applyFont="1" applyFill="1"/>
    <xf numFmtId="14" fontId="0" fillId="5" borderId="0" xfId="1" applyNumberFormat="1" applyFont="1" applyFill="1"/>
    <xf numFmtId="0" fontId="0" fillId="5" borderId="0" xfId="0" applyFill="1" applyAlignment="1">
      <alignment horizontal="center"/>
    </xf>
    <xf numFmtId="0" fontId="2" fillId="5" borderId="3" xfId="0" quotePrefix="1" applyFont="1" applyFill="1" applyBorder="1"/>
    <xf numFmtId="44" fontId="2" fillId="5" borderId="3" xfId="1" quotePrefix="1" applyFont="1" applyFill="1" applyBorder="1"/>
    <xf numFmtId="44" fontId="2" fillId="5" borderId="3" xfId="1" applyFont="1" applyFill="1" applyBorder="1"/>
    <xf numFmtId="0" fontId="2" fillId="5" borderId="0" xfId="0" applyFont="1" applyFill="1"/>
    <xf numFmtId="44" fontId="0" fillId="5" borderId="0" xfId="0" applyNumberFormat="1" applyFill="1"/>
    <xf numFmtId="44" fontId="2" fillId="5" borderId="0" xfId="1" applyFont="1" applyFill="1"/>
    <xf numFmtId="0" fontId="2" fillId="2" borderId="0" xfId="0" applyFont="1" applyFill="1"/>
    <xf numFmtId="0" fontId="0" fillId="0" borderId="0" xfId="0" applyProtection="1">
      <protection locked="0"/>
    </xf>
    <xf numFmtId="0" fontId="0" fillId="0" borderId="1" xfId="0" applyFont="1" applyBorder="1" applyProtection="1">
      <protection locked="0"/>
    </xf>
    <xf numFmtId="14" fontId="0" fillId="0" borderId="2" xfId="0" applyNumberFormat="1" applyFont="1" applyFill="1" applyBorder="1" applyAlignment="1" applyProtection="1">
      <protection locked="0"/>
    </xf>
    <xf numFmtId="0" fontId="0" fillId="5" borderId="0" xfId="0" applyFill="1"/>
    <xf numFmtId="0" fontId="6" fillId="0" borderId="0" xfId="0" applyFont="1" applyAlignment="1">
      <alignment horizontal="center"/>
    </xf>
    <xf numFmtId="44" fontId="0" fillId="5" borderId="0" xfId="1" applyFont="1" applyFill="1" applyAlignment="1">
      <alignment horizontal="center"/>
    </xf>
    <xf numFmtId="0" fontId="3" fillId="2" borderId="2" xfId="0" applyFont="1" applyFill="1" applyBorder="1" applyAlignment="1">
      <alignment horizontal="center"/>
    </xf>
    <xf numFmtId="0" fontId="0" fillId="5" borderId="0" xfId="0" applyFill="1" applyAlignment="1">
      <alignment horizontal="left"/>
    </xf>
    <xf numFmtId="0" fontId="0" fillId="2" borderId="0" xfId="0" applyFont="1" applyFill="1" applyAlignment="1">
      <alignment horizontal="left"/>
    </xf>
    <xf numFmtId="0" fontId="0" fillId="3" borderId="0" xfId="0" applyFont="1" applyFill="1" applyAlignment="1" applyProtection="1">
      <alignment horizontal="left"/>
      <protection locked="0"/>
    </xf>
    <xf numFmtId="0" fontId="0" fillId="5" borderId="0" xfId="0" applyFill="1" applyAlignment="1">
      <alignment horizontal="center"/>
    </xf>
    <xf numFmtId="2" fontId="5" fillId="0" borderId="0" xfId="0" applyNumberFormat="1" applyFont="1" applyAlignment="1">
      <alignment horizontal="right"/>
    </xf>
  </cellXfs>
  <cellStyles count="3">
    <cellStyle name="Standard" xfId="0" builtinId="0"/>
    <cellStyle name="Währung" xfId="1" builtinId="4"/>
    <cellStyle name="Währung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D20"/>
  <sheetViews>
    <sheetView zoomScaleNormal="100" workbookViewId="0">
      <selection activeCell="A22" sqref="A22"/>
    </sheetView>
  </sheetViews>
  <sheetFormatPr baseColWidth="10" defaultRowHeight="15" x14ac:dyDescent="0.25"/>
  <cols>
    <col min="1" max="1" width="5.42578125" customWidth="1"/>
    <col min="2" max="2" width="2.5703125" bestFit="1" customWidth="1"/>
    <col min="3" max="3" width="5.28515625" customWidth="1"/>
    <col min="4" max="4" width="110.140625" customWidth="1"/>
  </cols>
  <sheetData>
    <row r="2" spans="1:4" ht="23.25" x14ac:dyDescent="0.35">
      <c r="A2" s="49" t="s">
        <v>63</v>
      </c>
      <c r="B2" s="49"/>
      <c r="C2" s="49"/>
      <c r="D2" s="49"/>
    </row>
    <row r="3" spans="1:4" ht="24" customHeight="1" x14ac:dyDescent="0.35">
      <c r="A3" s="49" t="s">
        <v>50</v>
      </c>
      <c r="B3" s="49"/>
      <c r="C3" s="49"/>
      <c r="D3" s="49"/>
    </row>
    <row r="4" spans="1:4" ht="24" customHeight="1" x14ac:dyDescent="0.35">
      <c r="A4" s="49" t="s">
        <v>51</v>
      </c>
      <c r="B4" s="49"/>
      <c r="C4" s="49"/>
      <c r="D4" s="49"/>
    </row>
    <row r="6" spans="1:4" x14ac:dyDescent="0.25">
      <c r="B6" t="s">
        <v>27</v>
      </c>
      <c r="C6" t="s">
        <v>52</v>
      </c>
    </row>
    <row r="7" spans="1:4" x14ac:dyDescent="0.25">
      <c r="C7" t="s">
        <v>46</v>
      </c>
    </row>
    <row r="9" spans="1:4" x14ac:dyDescent="0.25">
      <c r="B9" t="s">
        <v>28</v>
      </c>
      <c r="C9" t="s">
        <v>29</v>
      </c>
    </row>
    <row r="10" spans="1:4" ht="30" x14ac:dyDescent="0.25">
      <c r="C10" s="22" t="s">
        <v>30</v>
      </c>
      <c r="D10" s="23" t="s">
        <v>34</v>
      </c>
    </row>
    <row r="11" spans="1:4" ht="60" x14ac:dyDescent="0.25">
      <c r="C11" s="22" t="s">
        <v>30</v>
      </c>
      <c r="D11" s="23" t="s">
        <v>43</v>
      </c>
    </row>
    <row r="12" spans="1:4" ht="30" x14ac:dyDescent="0.25">
      <c r="C12" s="22" t="s">
        <v>30</v>
      </c>
      <c r="D12" s="23" t="s">
        <v>55</v>
      </c>
    </row>
    <row r="13" spans="1:4" ht="30" x14ac:dyDescent="0.25">
      <c r="C13" s="22" t="s">
        <v>30</v>
      </c>
      <c r="D13" s="23" t="s">
        <v>44</v>
      </c>
    </row>
    <row r="15" spans="1:4" x14ac:dyDescent="0.25">
      <c r="B15" t="s">
        <v>31</v>
      </c>
      <c r="C15" s="24" t="s">
        <v>32</v>
      </c>
    </row>
    <row r="16" spans="1:4" ht="30" x14ac:dyDescent="0.25">
      <c r="C16" s="22" t="s">
        <v>30</v>
      </c>
      <c r="D16" s="23" t="s">
        <v>35</v>
      </c>
    </row>
    <row r="17" spans="3:4" ht="30" x14ac:dyDescent="0.25">
      <c r="C17" s="22" t="s">
        <v>30</v>
      </c>
      <c r="D17" s="23" t="s">
        <v>45</v>
      </c>
    </row>
    <row r="18" spans="3:4" ht="45" x14ac:dyDescent="0.25">
      <c r="C18" s="22" t="s">
        <v>30</v>
      </c>
      <c r="D18" s="23" t="s">
        <v>47</v>
      </c>
    </row>
    <row r="19" spans="3:4" x14ac:dyDescent="0.25">
      <c r="C19" s="22" t="s">
        <v>30</v>
      </c>
      <c r="D19" t="s">
        <v>33</v>
      </c>
    </row>
    <row r="20" spans="3:4" ht="30" x14ac:dyDescent="0.25">
      <c r="C20" s="22" t="s">
        <v>30</v>
      </c>
      <c r="D20" s="23" t="s">
        <v>36</v>
      </c>
    </row>
  </sheetData>
  <sheetProtection algorithmName="SHA-512" hashValue="/BvHqBvseyCllzMkvjIuv8x2P2UPSFeFihDc1vz0zOGOIXxsxqNC6fN6ISOtAXjBcOogWb7eJBC0ESpA2iJL9A==" saltValue="CfI6gGhiqvGqJk5Gf3OboQ==" spinCount="100000" sheet="1" selectLockedCells="1" selectUnlockedCells="1"/>
  <mergeCells count="3">
    <mergeCell ref="A2:D2"/>
    <mergeCell ref="A3:D3"/>
    <mergeCell ref="A4:D4"/>
  </mergeCells>
  <pageMargins left="0.7" right="0.7" top="0.78740157499999996" bottom="0.78740157499999996" header="0.3" footer="0.3"/>
  <pageSetup paperSize="9" scale="67"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6"/>
  <sheetViews>
    <sheetView tabSelected="1" zoomScaleNormal="100" workbookViewId="0">
      <selection activeCell="F6" sqref="F6"/>
    </sheetView>
  </sheetViews>
  <sheetFormatPr baseColWidth="10" defaultRowHeight="15" x14ac:dyDescent="0.25"/>
  <cols>
    <col min="1" max="1" width="13.28515625" bestFit="1" customWidth="1"/>
    <col min="2" max="2" width="50.85546875" bestFit="1" customWidth="1"/>
    <col min="3" max="3" width="13.140625" style="9" customWidth="1"/>
    <col min="4" max="5" width="13.140625" style="28" hidden="1" customWidth="1"/>
    <col min="6" max="6" width="13.140625" style="9" customWidth="1"/>
    <col min="7" max="13" width="11.42578125" style="33" hidden="1" customWidth="1"/>
    <col min="14" max="15" width="11.42578125" style="35" hidden="1" customWidth="1"/>
    <col min="16" max="16" width="10" style="35" hidden="1" customWidth="1"/>
    <col min="17" max="18" width="11.42578125" style="35" hidden="1" customWidth="1"/>
    <col min="19" max="22" width="11.42578125" style="33" hidden="1" customWidth="1"/>
    <col min="23" max="23" width="12" style="33" hidden="1" customWidth="1"/>
    <col min="24" max="24" width="66" hidden="1" customWidth="1"/>
  </cols>
  <sheetData>
    <row r="1" spans="1:24" x14ac:dyDescent="0.25">
      <c r="A1" s="1" t="s">
        <v>6</v>
      </c>
      <c r="B1" s="1" t="s">
        <v>7</v>
      </c>
      <c r="C1" s="53" t="s">
        <v>8</v>
      </c>
      <c r="D1" s="53"/>
      <c r="E1" s="53"/>
      <c r="F1" s="53"/>
      <c r="G1" s="52" t="s">
        <v>18</v>
      </c>
      <c r="H1" s="52"/>
      <c r="I1" s="52"/>
      <c r="K1" s="34">
        <v>44396</v>
      </c>
      <c r="M1" s="35"/>
      <c r="R1" s="33"/>
      <c r="X1" s="1"/>
    </row>
    <row r="2" spans="1:24" x14ac:dyDescent="0.25">
      <c r="A2" s="45"/>
      <c r="B2" s="45"/>
      <c r="C2" s="54"/>
      <c r="D2" s="54"/>
      <c r="E2" s="54"/>
      <c r="F2" s="54"/>
      <c r="G2" s="52" t="s">
        <v>37</v>
      </c>
      <c r="H2" s="52"/>
      <c r="I2" s="52"/>
      <c r="K2" s="36">
        <v>44389</v>
      </c>
      <c r="L2" s="35"/>
      <c r="M2" s="35"/>
      <c r="P2" s="33"/>
      <c r="Q2" s="33"/>
      <c r="R2" s="33"/>
      <c r="X2" s="1"/>
    </row>
    <row r="3" spans="1:24" x14ac:dyDescent="0.25">
      <c r="A3" s="1"/>
      <c r="B3" s="1"/>
      <c r="C3" s="7"/>
      <c r="F3" s="7"/>
      <c r="G3" s="52" t="s">
        <v>40</v>
      </c>
      <c r="H3" s="52"/>
      <c r="I3" s="52"/>
      <c r="K3" s="34">
        <v>44347</v>
      </c>
      <c r="X3" s="1"/>
    </row>
    <row r="4" spans="1:24" x14ac:dyDescent="0.25">
      <c r="A4" s="1"/>
      <c r="B4" s="1"/>
      <c r="C4" s="7"/>
      <c r="F4" s="7"/>
      <c r="G4" s="52" t="s">
        <v>48</v>
      </c>
      <c r="H4" s="52"/>
      <c r="I4" s="52"/>
      <c r="K4" s="34">
        <v>44516</v>
      </c>
      <c r="X4" s="1"/>
    </row>
    <row r="5" spans="1:24" x14ac:dyDescent="0.25">
      <c r="A5" s="1"/>
      <c r="B5" s="1"/>
      <c r="C5" s="7"/>
      <c r="F5" s="7"/>
      <c r="G5" s="52" t="s">
        <v>54</v>
      </c>
      <c r="H5" s="52"/>
      <c r="I5" s="52"/>
      <c r="K5" s="34">
        <v>44522</v>
      </c>
      <c r="X5" s="1"/>
    </row>
    <row r="6" spans="1:24" ht="15.75" x14ac:dyDescent="0.25">
      <c r="A6" s="51" t="s">
        <v>21</v>
      </c>
      <c r="B6" s="51"/>
      <c r="C6" s="6" t="s">
        <v>15</v>
      </c>
      <c r="D6" s="29"/>
      <c r="E6" s="30"/>
      <c r="F6" s="47"/>
      <c r="G6" s="55" t="s">
        <v>19</v>
      </c>
      <c r="H6" s="55"/>
      <c r="I6" s="55"/>
      <c r="J6" s="37"/>
      <c r="K6" s="50" t="s">
        <v>38</v>
      </c>
      <c r="L6" s="50"/>
      <c r="M6" s="50"/>
      <c r="N6" s="50" t="s">
        <v>20</v>
      </c>
      <c r="O6" s="50"/>
      <c r="P6" s="50"/>
      <c r="Q6" s="50" t="s">
        <v>39</v>
      </c>
      <c r="R6" s="50"/>
      <c r="X6" s="1" t="str">
        <f>IF(F6&lt;$K$3, "Eine Belieferung der Ärzte kann erst ab dem 31.05.2021 erfolgen", "")</f>
        <v>Eine Belieferung der Ärzte kann erst ab dem 31.05.2021 erfolgen</v>
      </c>
    </row>
    <row r="7" spans="1:24" s="10" customFormat="1" x14ac:dyDescent="0.25">
      <c r="A7" s="2" t="s">
        <v>0</v>
      </c>
      <c r="B7" s="2" t="s">
        <v>4</v>
      </c>
      <c r="C7" s="2" t="s">
        <v>1</v>
      </c>
      <c r="D7" s="31" t="s">
        <v>41</v>
      </c>
      <c r="E7" s="31" t="s">
        <v>42</v>
      </c>
      <c r="F7" s="2" t="s">
        <v>2</v>
      </c>
      <c r="G7" s="38" t="s">
        <v>26</v>
      </c>
      <c r="H7" s="38" t="s">
        <v>9</v>
      </c>
      <c r="I7" s="38" t="s">
        <v>10</v>
      </c>
      <c r="J7" s="38" t="s">
        <v>15</v>
      </c>
      <c r="K7" s="39" t="s">
        <v>26</v>
      </c>
      <c r="L7" s="39" t="s">
        <v>9</v>
      </c>
      <c r="M7" s="39" t="s">
        <v>10</v>
      </c>
      <c r="N7" s="39" t="s">
        <v>26</v>
      </c>
      <c r="O7" s="39" t="s">
        <v>9</v>
      </c>
      <c r="P7" s="39" t="s">
        <v>10</v>
      </c>
      <c r="Q7" s="39" t="s">
        <v>16</v>
      </c>
      <c r="R7" s="39" t="s">
        <v>17</v>
      </c>
      <c r="S7" s="40" t="s">
        <v>11</v>
      </c>
      <c r="T7" s="40" t="s">
        <v>12</v>
      </c>
      <c r="U7" s="41"/>
      <c r="V7" s="41"/>
      <c r="W7" s="41"/>
      <c r="X7" s="44"/>
    </row>
    <row r="8" spans="1:24" x14ac:dyDescent="0.25">
      <c r="A8" s="3">
        <v>17377625</v>
      </c>
      <c r="B8" s="3" t="s">
        <v>3</v>
      </c>
      <c r="C8" s="46"/>
      <c r="D8" s="32">
        <f>ROUND(C8,0)</f>
        <v>0</v>
      </c>
      <c r="E8" s="32">
        <f>C8</f>
        <v>0</v>
      </c>
      <c r="F8" s="11" t="str">
        <f>IF(AND(C8&gt;0,X8="",J8&gt;=$K$3), N8+O8+P8, "")</f>
        <v/>
      </c>
      <c r="G8" s="33">
        <f>IF(E8&lt;100,C8,IF(E8-C8&gt;100,0,MIN(100-(E8-C8))))</f>
        <v>0</v>
      </c>
      <c r="H8" s="33">
        <f>IF(E8&lt;=100,0,IF(E8-C8&gt;150,0,MIN(150,E8)-MAX(100,E8-C8)))</f>
        <v>0</v>
      </c>
      <c r="I8" s="33">
        <f>IF(E8&lt;=150,0,E8-MAX(150,E8-C8))</f>
        <v>0</v>
      </c>
      <c r="J8" s="34">
        <f>F$6</f>
        <v>0</v>
      </c>
      <c r="K8" s="48" t="str">
        <f>IF($J8&lt;$K$3, "", IF($J8&lt;$K$2,6.58,7.58))</f>
        <v/>
      </c>
      <c r="L8" s="48" t="str">
        <f>IF($J8&lt;$K$3, "", IF($J8&lt;$K$2,4.28,4.92))</f>
        <v/>
      </c>
      <c r="M8" s="48" t="str">
        <f>IF($J8&lt;$K$3, "", IF($J8&lt;$K$2,2.19,2.52))</f>
        <v/>
      </c>
      <c r="N8" s="35" t="str">
        <f>IF($J8&lt;$K$3, "",G8*ROUND((K8+$Q8+$R8)*1.19,2))</f>
        <v/>
      </c>
      <c r="O8" s="35" t="str">
        <f t="shared" ref="O8:P8" si="0">IF($J8&lt;$K$3, "",H8*ROUND((L8+$Q8+$R8)*1.19,2))</f>
        <v/>
      </c>
      <c r="P8" s="35" t="str">
        <f t="shared" si="0"/>
        <v/>
      </c>
      <c r="Q8" s="35">
        <f>IF(J8&lt;$K$4,1.65,IF(J8&lt;$K$5,1.4,3.72))</f>
        <v>1.65</v>
      </c>
      <c r="R8" s="35">
        <f>IF(J8&lt;$K$1,8.6,7.45)</f>
        <v>8.6</v>
      </c>
      <c r="S8" s="33">
        <f>IF(C8&gt;0,1,0)</f>
        <v>0</v>
      </c>
      <c r="T8" s="33">
        <f>S8</f>
        <v>0</v>
      </c>
      <c r="U8" s="33" t="str">
        <f>IF(S8&gt;0,A8,"")</f>
        <v/>
      </c>
      <c r="V8" s="33" t="str">
        <f>IF(S8&gt;0,C8,"")</f>
        <v/>
      </c>
      <c r="W8" s="42" t="str">
        <f>IF(S8&gt;0,F8,"")</f>
        <v/>
      </c>
      <c r="X8" s="1" t="str">
        <f>IF(AND(C8&lt;&gt;0,T8&gt;3),"Es dürfen maximal 3 Positionen auf einem Rezept gedruckt werden!","")</f>
        <v/>
      </c>
    </row>
    <row r="9" spans="1:24" x14ac:dyDescent="0.25">
      <c r="A9" s="3">
        <v>17377588</v>
      </c>
      <c r="B9" s="3" t="s">
        <v>56</v>
      </c>
      <c r="C9" s="46"/>
      <c r="D9" s="32">
        <f t="shared" ref="D9:D17" si="1">ROUND(C9,0)</f>
        <v>0</v>
      </c>
      <c r="E9" s="32">
        <f>E8+C9</f>
        <v>0</v>
      </c>
      <c r="F9" s="11" t="str">
        <f t="shared" ref="F9:F17" si="2">IF(AND(C9&gt;0,X9="",J9&gt;=$K$3), N9+O9+P9, "")</f>
        <v/>
      </c>
      <c r="G9" s="33">
        <f t="shared" ref="G9:G17" si="3">IF(E9&lt;100,C9,IF(E9-C9&gt;100,0,MIN(100-(E9-C9))))</f>
        <v>0</v>
      </c>
      <c r="H9" s="33">
        <f t="shared" ref="H9:H17" si="4">IF(E9&lt;=100,0,IF(E9-C9&gt;150,0,MIN(150,E9)-MAX(100,E9-C9)))</f>
        <v>0</v>
      </c>
      <c r="I9" s="33">
        <f t="shared" ref="I9:I17" si="5">IF(E9&lt;=150,0,E9-MAX(150,E9-C9))</f>
        <v>0</v>
      </c>
      <c r="J9" s="34">
        <f t="shared" ref="J9:J17" si="6">F$6</f>
        <v>0</v>
      </c>
      <c r="K9" s="48" t="str">
        <f t="shared" ref="K9:K17" si="7">IF($J9&lt;$K$3, "", IF($J9&lt;$K$2,6.58,7.58))</f>
        <v/>
      </c>
      <c r="L9" s="48" t="str">
        <f t="shared" ref="L9:L17" si="8">IF($J9&lt;$K$3, "", IF($J9&lt;$K$2,4.28,4.92))</f>
        <v/>
      </c>
      <c r="M9" s="48" t="str">
        <f t="shared" ref="M9:M17" si="9">IF($J9&lt;$K$3, "", IF($J9&lt;$K$2,2.19,2.52))</f>
        <v/>
      </c>
      <c r="N9" s="35" t="str">
        <f t="shared" ref="N9:N17" si="10">IF($J9&lt;$K$3, "",G9*ROUND((K9+$Q9+$R9)*1.19,2))</f>
        <v/>
      </c>
      <c r="O9" s="35" t="str">
        <f t="shared" ref="O9:O17" si="11">IF($J9&lt;$K$3, "",H9*ROUND((L9+$Q9+$R9)*1.19,2))</f>
        <v/>
      </c>
      <c r="P9" s="35" t="str">
        <f t="shared" ref="P9:P17" si="12">IF($J9&lt;$K$3, "",I9*ROUND((M9+$Q9+$R9)*1.19,2))</f>
        <v/>
      </c>
      <c r="Q9" s="35">
        <f t="shared" ref="Q9:Q17" si="13">IF(J9&lt;$K$4,1.65,IF(J9&lt;$K$5,1.4,3.72))</f>
        <v>1.65</v>
      </c>
      <c r="R9" s="35">
        <f t="shared" ref="R9:R17" si="14">IF(J9&lt;$K$1,8.6,7.45)</f>
        <v>8.6</v>
      </c>
      <c r="S9" s="33">
        <f>IF(C9&gt;0,T8+1,0)</f>
        <v>0</v>
      </c>
      <c r="T9" s="33">
        <f>IF(C9&gt;0,T8+1,T8)</f>
        <v>0</v>
      </c>
      <c r="U9" s="33" t="str">
        <f t="shared" ref="U9:U17" si="15">IF(S9&gt;0,A9,"")</f>
        <v/>
      </c>
      <c r="V9" s="33" t="str">
        <f t="shared" ref="V9:V17" si="16">IF(S9&gt;0,C9,"")</f>
        <v/>
      </c>
      <c r="W9" s="42" t="str">
        <f t="shared" ref="W9:W17" si="17">IF(S9&gt;0,F9,"")</f>
        <v/>
      </c>
      <c r="X9" s="1" t="str">
        <f t="shared" ref="X9:X10" si="18">IF(AND(C9&lt;&gt;0,T9&gt;3),"Es dürfen maximal 3 Positionen auf einem Rezept gedruckt werden!","")</f>
        <v/>
      </c>
    </row>
    <row r="10" spans="1:24" x14ac:dyDescent="0.25">
      <c r="A10" s="3">
        <v>17377602</v>
      </c>
      <c r="B10" s="3" t="s">
        <v>49</v>
      </c>
      <c r="C10" s="46"/>
      <c r="D10" s="32">
        <f t="shared" si="1"/>
        <v>0</v>
      </c>
      <c r="E10" s="32">
        <f t="shared" ref="E10:E17" si="19">E9+C10</f>
        <v>0</v>
      </c>
      <c r="F10" s="11" t="str">
        <f t="shared" si="2"/>
        <v/>
      </c>
      <c r="G10" s="33">
        <f t="shared" si="3"/>
        <v>0</v>
      </c>
      <c r="H10" s="33">
        <f t="shared" si="4"/>
        <v>0</v>
      </c>
      <c r="I10" s="33">
        <f t="shared" si="5"/>
        <v>0</v>
      </c>
      <c r="J10" s="34">
        <f t="shared" si="6"/>
        <v>0</v>
      </c>
      <c r="K10" s="48" t="str">
        <f t="shared" si="7"/>
        <v/>
      </c>
      <c r="L10" s="48" t="str">
        <f t="shared" si="8"/>
        <v/>
      </c>
      <c r="M10" s="48" t="str">
        <f t="shared" si="9"/>
        <v/>
      </c>
      <c r="N10" s="35" t="str">
        <f t="shared" si="10"/>
        <v/>
      </c>
      <c r="O10" s="35" t="str">
        <f t="shared" si="11"/>
        <v/>
      </c>
      <c r="P10" s="35" t="str">
        <f t="shared" si="12"/>
        <v/>
      </c>
      <c r="Q10" s="35">
        <f>IF(J10&lt;$K$4,1.65,IF(J10&lt;$K$5,2.8,3.72))</f>
        <v>1.65</v>
      </c>
      <c r="R10" s="35">
        <f t="shared" si="14"/>
        <v>8.6</v>
      </c>
      <c r="S10" s="33">
        <f t="shared" ref="S10:S11" si="20">IF(C10&gt;0,T9+1,0)</f>
        <v>0</v>
      </c>
      <c r="T10" s="33">
        <f>IF(C10&gt;0,T9+1,T9)</f>
        <v>0</v>
      </c>
      <c r="U10" s="33" t="str">
        <f t="shared" si="15"/>
        <v/>
      </c>
      <c r="V10" s="33" t="str">
        <f t="shared" si="16"/>
        <v/>
      </c>
      <c r="W10" s="42" t="str">
        <f t="shared" si="17"/>
        <v/>
      </c>
      <c r="X10" s="1" t="str">
        <f t="shared" si="18"/>
        <v/>
      </c>
    </row>
    <row r="11" spans="1:24" x14ac:dyDescent="0.25">
      <c r="A11" s="3">
        <v>17377648</v>
      </c>
      <c r="B11" s="3" t="s">
        <v>57</v>
      </c>
      <c r="C11" s="46"/>
      <c r="D11" s="32">
        <f t="shared" si="1"/>
        <v>0</v>
      </c>
      <c r="E11" s="32">
        <f t="shared" si="19"/>
        <v>0</v>
      </c>
      <c r="F11" s="11" t="str">
        <f t="shared" si="2"/>
        <v/>
      </c>
      <c r="G11" s="33">
        <f t="shared" si="3"/>
        <v>0</v>
      </c>
      <c r="H11" s="33">
        <f t="shared" si="4"/>
        <v>0</v>
      </c>
      <c r="I11" s="33">
        <f t="shared" si="5"/>
        <v>0</v>
      </c>
      <c r="J11" s="34">
        <f t="shared" si="6"/>
        <v>0</v>
      </c>
      <c r="K11" s="48" t="str">
        <f t="shared" si="7"/>
        <v/>
      </c>
      <c r="L11" s="48" t="str">
        <f t="shared" si="8"/>
        <v/>
      </c>
      <c r="M11" s="48" t="str">
        <f t="shared" si="9"/>
        <v/>
      </c>
      <c r="N11" s="35" t="str">
        <f t="shared" si="10"/>
        <v/>
      </c>
      <c r="O11" s="35" t="str">
        <f t="shared" si="11"/>
        <v/>
      </c>
      <c r="P11" s="35" t="str">
        <f t="shared" si="12"/>
        <v/>
      </c>
      <c r="Q11" s="35">
        <f t="shared" si="13"/>
        <v>1.65</v>
      </c>
      <c r="R11" s="35">
        <f t="shared" si="14"/>
        <v>8.6</v>
      </c>
      <c r="S11" s="33">
        <f t="shared" si="20"/>
        <v>0</v>
      </c>
      <c r="T11" s="33">
        <f t="shared" ref="T11" si="21">IF(C11&gt;0,T10+1,T10)</f>
        <v>0</v>
      </c>
      <c r="U11" s="33" t="str">
        <f t="shared" si="15"/>
        <v/>
      </c>
      <c r="V11" s="33" t="str">
        <f t="shared" si="16"/>
        <v/>
      </c>
      <c r="W11" s="42" t="str">
        <f t="shared" si="17"/>
        <v/>
      </c>
      <c r="X11" s="1" t="str">
        <f>IF(AND(C11&lt;&gt;0,T11&gt;3),"Es dürfen maximal 3 Positionen auf einem Rezept gedruckt werden!","")</f>
        <v/>
      </c>
    </row>
    <row r="12" spans="1:24" x14ac:dyDescent="0.25">
      <c r="A12" s="3">
        <v>17895975</v>
      </c>
      <c r="B12" s="3" t="s">
        <v>53</v>
      </c>
      <c r="C12" s="46"/>
      <c r="D12" s="32">
        <f t="shared" si="1"/>
        <v>0</v>
      </c>
      <c r="E12" s="32">
        <f t="shared" si="19"/>
        <v>0</v>
      </c>
      <c r="F12" s="11" t="str">
        <f t="shared" si="2"/>
        <v/>
      </c>
      <c r="G12" s="33">
        <f t="shared" si="3"/>
        <v>0</v>
      </c>
      <c r="H12" s="33">
        <f t="shared" si="4"/>
        <v>0</v>
      </c>
      <c r="I12" s="33">
        <f t="shared" si="5"/>
        <v>0</v>
      </c>
      <c r="J12" s="34">
        <f t="shared" si="6"/>
        <v>0</v>
      </c>
      <c r="K12" s="48" t="str">
        <f t="shared" si="7"/>
        <v/>
      </c>
      <c r="L12" s="48" t="str">
        <f t="shared" si="8"/>
        <v/>
      </c>
      <c r="M12" s="48" t="str">
        <f t="shared" si="9"/>
        <v/>
      </c>
      <c r="N12" s="35" t="str">
        <f t="shared" si="10"/>
        <v/>
      </c>
      <c r="O12" s="35" t="str">
        <f t="shared" si="11"/>
        <v/>
      </c>
      <c r="P12" s="35" t="str">
        <f t="shared" si="12"/>
        <v/>
      </c>
      <c r="Q12" s="35">
        <f t="shared" si="13"/>
        <v>1.65</v>
      </c>
      <c r="R12" s="35">
        <f t="shared" si="14"/>
        <v>8.6</v>
      </c>
      <c r="S12" s="33">
        <f t="shared" ref="S12" si="22">IF(C12&gt;0,T11+1,0)</f>
        <v>0</v>
      </c>
      <c r="T12" s="33">
        <f t="shared" ref="T12" si="23">IF(C12&gt;0,T11+1,T11)</f>
        <v>0</v>
      </c>
      <c r="U12" s="33" t="str">
        <f t="shared" si="15"/>
        <v/>
      </c>
      <c r="V12" s="33" t="str">
        <f t="shared" si="16"/>
        <v/>
      </c>
      <c r="W12" s="42" t="str">
        <f t="shared" si="17"/>
        <v/>
      </c>
      <c r="X12" s="1" t="str">
        <f t="shared" ref="X12:X17" si="24">IF(AND(C12&lt;&gt;0,T12&gt;3),"Es dürfen maximal 3 Positionen auf einem Rezept gedruckt werden!","")</f>
        <v/>
      </c>
    </row>
    <row r="13" spans="1:24" x14ac:dyDescent="0.25">
      <c r="A13" s="3">
        <v>17899252</v>
      </c>
      <c r="B13" s="3" t="s">
        <v>58</v>
      </c>
      <c r="C13" s="46"/>
      <c r="D13" s="32">
        <f t="shared" si="1"/>
        <v>0</v>
      </c>
      <c r="E13" s="32">
        <f t="shared" si="19"/>
        <v>0</v>
      </c>
      <c r="F13" s="11" t="str">
        <f t="shared" ref="F13:F14" si="25">IF(AND(C13&gt;0,X13="",J13&gt;=$K$3), N13+O13+P13, "")</f>
        <v/>
      </c>
      <c r="G13" s="33">
        <f t="shared" ref="G13:G14" si="26">IF(E13&lt;100,C13,IF(E13-C13&gt;100,0,MIN(100-(E13-C13))))</f>
        <v>0</v>
      </c>
      <c r="H13" s="33">
        <f t="shared" ref="H13:H14" si="27">IF(E13&lt;=100,0,IF(E13-C13&gt;150,0,MIN(150,E13)-MAX(100,E13-C13)))</f>
        <v>0</v>
      </c>
      <c r="I13" s="33">
        <f t="shared" ref="I13:I14" si="28">IF(E13&lt;=150,0,E13-MAX(150,E13-C13))</f>
        <v>0</v>
      </c>
      <c r="J13" s="34">
        <f t="shared" ref="J13:J14" si="29">F$6</f>
        <v>0</v>
      </c>
      <c r="K13" s="48" t="str">
        <f t="shared" si="7"/>
        <v/>
      </c>
      <c r="L13" s="48" t="str">
        <f t="shared" si="8"/>
        <v/>
      </c>
      <c r="M13" s="48" t="str">
        <f t="shared" si="9"/>
        <v/>
      </c>
      <c r="N13" s="35" t="str">
        <f t="shared" si="10"/>
        <v/>
      </c>
      <c r="O13" s="35" t="str">
        <f t="shared" si="11"/>
        <v/>
      </c>
      <c r="P13" s="35" t="str">
        <f t="shared" si="12"/>
        <v/>
      </c>
      <c r="Q13" s="35">
        <f t="shared" ref="Q13:Q14" si="30">IF(J13&lt;$K$4,1.65,IF(J13&lt;$K$5,1.4,3.72))</f>
        <v>1.65</v>
      </c>
      <c r="R13" s="35">
        <f t="shared" ref="R13:R14" si="31">IF(J13&lt;$K$1,8.6,7.45)</f>
        <v>8.6</v>
      </c>
      <c r="S13" s="33">
        <f t="shared" ref="S13:S17" si="32">IF(C13&gt;0,T12+1,0)</f>
        <v>0</v>
      </c>
      <c r="T13" s="33">
        <f t="shared" ref="T13:T17" si="33">IF(C13&gt;0,T12+1,T12)</f>
        <v>0</v>
      </c>
      <c r="U13" s="33" t="str">
        <f t="shared" ref="U13:U14" si="34">IF(S13&gt;0,A13,"")</f>
        <v/>
      </c>
      <c r="V13" s="33" t="str">
        <f t="shared" ref="V13:V14" si="35">IF(S13&gt;0,C13,"")</f>
        <v/>
      </c>
      <c r="W13" s="42" t="str">
        <f t="shared" ref="W13:W14" si="36">IF(S13&gt;0,F13,"")</f>
        <v/>
      </c>
      <c r="X13" s="1" t="str">
        <f t="shared" ref="X13:X14" si="37">IF(AND(C13&lt;&gt;0,T13&gt;3),"Es dürfen maximal 3 Positionen auf einem Rezept gedruckt werden!","")</f>
        <v/>
      </c>
    </row>
    <row r="14" spans="1:24" x14ac:dyDescent="0.25">
      <c r="A14" s="3">
        <v>18294315</v>
      </c>
      <c r="B14" s="3" t="s">
        <v>59</v>
      </c>
      <c r="C14" s="46"/>
      <c r="D14" s="32">
        <f t="shared" si="1"/>
        <v>0</v>
      </c>
      <c r="E14" s="32">
        <f t="shared" si="19"/>
        <v>0</v>
      </c>
      <c r="F14" s="11" t="str">
        <f t="shared" si="25"/>
        <v/>
      </c>
      <c r="G14" s="33">
        <f t="shared" si="26"/>
        <v>0</v>
      </c>
      <c r="H14" s="33">
        <f t="shared" si="27"/>
        <v>0</v>
      </c>
      <c r="I14" s="33">
        <f t="shared" si="28"/>
        <v>0</v>
      </c>
      <c r="J14" s="34">
        <f t="shared" si="29"/>
        <v>0</v>
      </c>
      <c r="K14" s="48" t="str">
        <f t="shared" si="7"/>
        <v/>
      </c>
      <c r="L14" s="48" t="str">
        <f t="shared" si="8"/>
        <v/>
      </c>
      <c r="M14" s="48" t="str">
        <f t="shared" si="9"/>
        <v/>
      </c>
      <c r="N14" s="35" t="str">
        <f t="shared" si="10"/>
        <v/>
      </c>
      <c r="O14" s="35" t="str">
        <f t="shared" si="11"/>
        <v/>
      </c>
      <c r="P14" s="35" t="str">
        <f t="shared" si="12"/>
        <v/>
      </c>
      <c r="Q14" s="35">
        <f t="shared" si="30"/>
        <v>1.65</v>
      </c>
      <c r="R14" s="35">
        <f t="shared" si="31"/>
        <v>8.6</v>
      </c>
      <c r="S14" s="33">
        <f t="shared" si="32"/>
        <v>0</v>
      </c>
      <c r="T14" s="33">
        <f t="shared" si="33"/>
        <v>0</v>
      </c>
      <c r="U14" s="33" t="str">
        <f t="shared" si="34"/>
        <v/>
      </c>
      <c r="V14" s="33" t="str">
        <f t="shared" si="35"/>
        <v/>
      </c>
      <c r="W14" s="42" t="str">
        <f t="shared" si="36"/>
        <v/>
      </c>
      <c r="X14" s="1" t="str">
        <f t="shared" si="37"/>
        <v/>
      </c>
    </row>
    <row r="15" spans="1:24" x14ac:dyDescent="0.25">
      <c r="A15" s="3">
        <v>18296171</v>
      </c>
      <c r="B15" s="3" t="s">
        <v>60</v>
      </c>
      <c r="C15" s="46"/>
      <c r="D15" s="32">
        <f t="shared" si="1"/>
        <v>0</v>
      </c>
      <c r="E15" s="32">
        <f t="shared" si="19"/>
        <v>0</v>
      </c>
      <c r="F15" s="11" t="str">
        <f t="shared" si="2"/>
        <v/>
      </c>
      <c r="G15" s="33">
        <f t="shared" si="3"/>
        <v>0</v>
      </c>
      <c r="H15" s="33">
        <f t="shared" si="4"/>
        <v>0</v>
      </c>
      <c r="I15" s="33">
        <f t="shared" si="5"/>
        <v>0</v>
      </c>
      <c r="J15" s="34">
        <f t="shared" si="6"/>
        <v>0</v>
      </c>
      <c r="K15" s="48" t="str">
        <f t="shared" si="7"/>
        <v/>
      </c>
      <c r="L15" s="48" t="str">
        <f t="shared" si="8"/>
        <v/>
      </c>
      <c r="M15" s="48" t="str">
        <f t="shared" si="9"/>
        <v/>
      </c>
      <c r="N15" s="35" t="str">
        <f t="shared" si="10"/>
        <v/>
      </c>
      <c r="O15" s="35" t="str">
        <f t="shared" si="11"/>
        <v/>
      </c>
      <c r="P15" s="35" t="str">
        <f t="shared" si="12"/>
        <v/>
      </c>
      <c r="Q15" s="35">
        <f t="shared" si="13"/>
        <v>1.65</v>
      </c>
      <c r="R15" s="35">
        <f t="shared" si="14"/>
        <v>8.6</v>
      </c>
      <c r="S15" s="33">
        <f t="shared" si="32"/>
        <v>0</v>
      </c>
      <c r="T15" s="33">
        <f t="shared" si="33"/>
        <v>0</v>
      </c>
      <c r="U15" s="33" t="str">
        <f t="shared" si="15"/>
        <v/>
      </c>
      <c r="V15" s="33" t="str">
        <f t="shared" si="16"/>
        <v/>
      </c>
      <c r="W15" s="42" t="str">
        <f t="shared" si="17"/>
        <v/>
      </c>
      <c r="X15" s="1" t="str">
        <f t="shared" si="24"/>
        <v/>
      </c>
    </row>
    <row r="16" spans="1:24" x14ac:dyDescent="0.25">
      <c r="A16" s="3">
        <v>18276228</v>
      </c>
      <c r="B16" s="3" t="s">
        <v>61</v>
      </c>
      <c r="C16" s="46"/>
      <c r="D16" s="32">
        <f t="shared" si="1"/>
        <v>0</v>
      </c>
      <c r="E16" s="32">
        <f t="shared" si="19"/>
        <v>0</v>
      </c>
      <c r="F16" s="11" t="str">
        <f t="shared" ref="F16" si="38">IF(AND(C16&gt;0,X16="",J16&gt;=$K$3), N16+O16+P16, "")</f>
        <v/>
      </c>
      <c r="G16" s="33">
        <f t="shared" ref="G16" si="39">IF(E16&lt;100,C16,IF(E16-C16&gt;100,0,MIN(100-(E16-C16))))</f>
        <v>0</v>
      </c>
      <c r="H16" s="33">
        <f t="shared" ref="H16" si="40">IF(E16&lt;=100,0,IF(E16-C16&gt;150,0,MIN(150,E16)-MAX(100,E16-C16)))</f>
        <v>0</v>
      </c>
      <c r="I16" s="33">
        <f t="shared" ref="I16" si="41">IF(E16&lt;=150,0,E16-MAX(150,E16-C16))</f>
        <v>0</v>
      </c>
      <c r="J16" s="34">
        <f>F$6</f>
        <v>0</v>
      </c>
      <c r="K16" s="48" t="str">
        <f t="shared" si="7"/>
        <v/>
      </c>
      <c r="L16" s="48" t="str">
        <f t="shared" si="8"/>
        <v/>
      </c>
      <c r="M16" s="48" t="str">
        <f t="shared" si="9"/>
        <v/>
      </c>
      <c r="N16" s="35" t="str">
        <f t="shared" si="10"/>
        <v/>
      </c>
      <c r="O16" s="35" t="str">
        <f t="shared" si="11"/>
        <v/>
      </c>
      <c r="P16" s="35" t="str">
        <f t="shared" si="12"/>
        <v/>
      </c>
      <c r="Q16" s="35">
        <f>IF(J16&lt;$K$4,1.65,IF(J16&lt;$K$5,2.8,3.72))</f>
        <v>1.65</v>
      </c>
      <c r="R16" s="35">
        <f t="shared" ref="R16" si="42">IF(J16&lt;$K$1,8.6,7.45)</f>
        <v>8.6</v>
      </c>
      <c r="S16" s="33">
        <f t="shared" si="32"/>
        <v>0</v>
      </c>
      <c r="T16" s="33">
        <f t="shared" si="33"/>
        <v>0</v>
      </c>
      <c r="U16" s="33" t="str">
        <f t="shared" ref="U16" si="43">IF(S16&gt;0,A16,"")</f>
        <v/>
      </c>
      <c r="V16" s="33" t="str">
        <f t="shared" ref="V16" si="44">IF(S16&gt;0,C16,"")</f>
        <v/>
      </c>
      <c r="W16" s="42" t="str">
        <f t="shared" ref="W16" si="45">IF(S16&gt;0,F16,"")</f>
        <v/>
      </c>
      <c r="X16" s="1" t="str">
        <f t="shared" ref="X16" si="46">IF(AND(C16&lt;&gt;0,T16&gt;3),"Es dürfen maximal 3 Positionen auf einem Rezept gedruckt werden!","")</f>
        <v/>
      </c>
    </row>
    <row r="17" spans="1:24" x14ac:dyDescent="0.25">
      <c r="A17" s="3">
        <v>18260368</v>
      </c>
      <c r="B17" s="3" t="s">
        <v>62</v>
      </c>
      <c r="C17" s="46"/>
      <c r="D17" s="32">
        <f t="shared" si="1"/>
        <v>0</v>
      </c>
      <c r="E17" s="32">
        <f t="shared" si="19"/>
        <v>0</v>
      </c>
      <c r="F17" s="11" t="str">
        <f t="shared" si="2"/>
        <v/>
      </c>
      <c r="G17" s="33">
        <f t="shared" si="3"/>
        <v>0</v>
      </c>
      <c r="H17" s="33">
        <f t="shared" si="4"/>
        <v>0</v>
      </c>
      <c r="I17" s="33">
        <f t="shared" si="5"/>
        <v>0</v>
      </c>
      <c r="J17" s="34">
        <f t="shared" si="6"/>
        <v>0</v>
      </c>
      <c r="K17" s="48" t="str">
        <f t="shared" si="7"/>
        <v/>
      </c>
      <c r="L17" s="48" t="str">
        <f t="shared" si="8"/>
        <v/>
      </c>
      <c r="M17" s="48" t="str">
        <f t="shared" si="9"/>
        <v/>
      </c>
      <c r="N17" s="35" t="str">
        <f t="shared" si="10"/>
        <v/>
      </c>
      <c r="O17" s="35" t="str">
        <f t="shared" si="11"/>
        <v/>
      </c>
      <c r="P17" s="35" t="str">
        <f t="shared" si="12"/>
        <v/>
      </c>
      <c r="Q17" s="35">
        <f t="shared" si="13"/>
        <v>1.65</v>
      </c>
      <c r="R17" s="35">
        <f t="shared" si="14"/>
        <v>8.6</v>
      </c>
      <c r="S17" s="33">
        <f t="shared" si="32"/>
        <v>0</v>
      </c>
      <c r="T17" s="33">
        <f t="shared" si="33"/>
        <v>0</v>
      </c>
      <c r="U17" s="33" t="str">
        <f t="shared" si="15"/>
        <v/>
      </c>
      <c r="V17" s="33" t="str">
        <f t="shared" si="16"/>
        <v/>
      </c>
      <c r="W17" s="42" t="str">
        <f t="shared" si="17"/>
        <v/>
      </c>
      <c r="X17" s="1" t="str">
        <f t="shared" si="24"/>
        <v/>
      </c>
    </row>
    <row r="18" spans="1:24" x14ac:dyDescent="0.25">
      <c r="A18" s="3"/>
      <c r="B18" s="2" t="s">
        <v>5</v>
      </c>
      <c r="C18" s="8">
        <f>SUM(C8:C17)</f>
        <v>0</v>
      </c>
      <c r="D18" s="32"/>
      <c r="E18" s="32"/>
      <c r="F18" s="11">
        <f>SUM(F8:F17)</f>
        <v>0</v>
      </c>
      <c r="X18" s="1"/>
    </row>
    <row r="19" spans="1:24" x14ac:dyDescent="0.25">
      <c r="A19" s="1"/>
      <c r="B19" s="1"/>
      <c r="C19" s="7"/>
      <c r="F19" s="7"/>
      <c r="X19" s="1"/>
    </row>
    <row r="20" spans="1:24" ht="15.75" x14ac:dyDescent="0.25">
      <c r="A20" s="51" t="s">
        <v>22</v>
      </c>
      <c r="B20" s="51"/>
      <c r="C20" s="6" t="s">
        <v>15</v>
      </c>
      <c r="D20" s="29"/>
      <c r="E20" s="30"/>
      <c r="F20" s="47"/>
      <c r="X20" s="1" t="str">
        <f>IF(F20&lt;$K$3, "Eine Belieferung der Ärzte kann erst ab dem 31.05.2021 erfolgen", "")</f>
        <v>Eine Belieferung der Ärzte kann erst ab dem 31.05.2021 erfolgen</v>
      </c>
    </row>
    <row r="21" spans="1:24" s="10" customFormat="1" x14ac:dyDescent="0.25">
      <c r="A21" s="2" t="s">
        <v>0</v>
      </c>
      <c r="B21" s="2" t="s">
        <v>4</v>
      </c>
      <c r="C21" s="2" t="s">
        <v>1</v>
      </c>
      <c r="D21" s="31" t="s">
        <v>41</v>
      </c>
      <c r="E21" s="31" t="s">
        <v>42</v>
      </c>
      <c r="F21" s="2" t="s">
        <v>2</v>
      </c>
      <c r="G21" s="41"/>
      <c r="H21" s="41"/>
      <c r="I21" s="41"/>
      <c r="J21" s="41"/>
      <c r="K21" s="41"/>
      <c r="L21" s="41"/>
      <c r="M21" s="41"/>
      <c r="N21" s="43"/>
      <c r="O21" s="43"/>
      <c r="P21" s="43"/>
      <c r="Q21" s="43"/>
      <c r="R21" s="43"/>
      <c r="S21" s="41"/>
      <c r="T21" s="41"/>
      <c r="U21" s="41"/>
      <c r="V21" s="41"/>
      <c r="W21" s="41"/>
      <c r="X21" s="44"/>
    </row>
    <row r="22" spans="1:24" x14ac:dyDescent="0.25">
      <c r="A22" s="3">
        <v>17377625</v>
      </c>
      <c r="B22" s="3" t="s">
        <v>3</v>
      </c>
      <c r="C22" s="46"/>
      <c r="D22" s="32">
        <f>ROUND(C22,0)</f>
        <v>0</v>
      </c>
      <c r="E22" s="32">
        <f>E17+D22</f>
        <v>0</v>
      </c>
      <c r="F22" s="11" t="str">
        <f>IF(AND(C22&gt;0,X22="",J22&gt;=$K$3), N22+O22+P22, "")</f>
        <v/>
      </c>
      <c r="G22" s="33">
        <f>IF(E22&lt;100,C22,IF(E22-C22&gt;100,0,MIN(100-(E22-C22))))</f>
        <v>0</v>
      </c>
      <c r="H22" s="33">
        <f>IF(E22&lt;=100,0,IF(E22-C22&gt;150,0,MIN(150,E22)-MAX(100,E22-C22)))</f>
        <v>0</v>
      </c>
      <c r="I22" s="33">
        <f>IF(E22&lt;=150,0,E22-MAX(150,E22-C22))</f>
        <v>0</v>
      </c>
      <c r="J22" s="34">
        <f>F$20</f>
        <v>0</v>
      </c>
      <c r="K22" s="48" t="str">
        <f>IF($J22&lt;$K$3, "", IF($J22&lt;$K$2,6.58,7.58))</f>
        <v/>
      </c>
      <c r="L22" s="48" t="str">
        <f>IF($J22&lt;$K$3, "", IF($J22&lt;$K$2,4.28,4.92))</f>
        <v/>
      </c>
      <c r="M22" s="48" t="str">
        <f>IF($J22&lt;$K$3, "", IF($J22&lt;$K$2,2.19,2.52))</f>
        <v/>
      </c>
      <c r="N22" s="35" t="str">
        <f>IF($J22&lt;$K$3, "",G22*ROUND((K22+$Q22+$R22)*1.19,2))</f>
        <v/>
      </c>
      <c r="O22" s="35" t="str">
        <f t="shared" ref="O22:O31" si="47">IF($J22&lt;$K$3, "",H22*ROUND((L22+$Q22+$R22)*1.19,2))</f>
        <v/>
      </c>
      <c r="P22" s="35" t="str">
        <f t="shared" ref="P22:P31" si="48">IF($J22&lt;$K$3, "",I22*ROUND((M22+$Q22+$R22)*1.19,2))</f>
        <v/>
      </c>
      <c r="Q22" s="35">
        <f>IF(J22&lt;$K$4,1.65,IF(J22&lt;$K$5,1.4,3.72))</f>
        <v>1.65</v>
      </c>
      <c r="R22" s="35">
        <f>IF(J22&lt;$K$1,8.6,7.45)</f>
        <v>8.6</v>
      </c>
      <c r="S22" s="33">
        <f>IF(C22&gt;0,1,0)</f>
        <v>0</v>
      </c>
      <c r="T22" s="33">
        <f>S22</f>
        <v>0</v>
      </c>
      <c r="U22" s="33" t="str">
        <f>IF(S22&gt;0,A22,"")</f>
        <v/>
      </c>
      <c r="V22" s="33" t="str">
        <f>IF(S22&gt;0,C22,"")</f>
        <v/>
      </c>
      <c r="W22" s="42" t="str">
        <f>IF(S22&gt;0,F22,"")</f>
        <v/>
      </c>
      <c r="X22" s="1" t="str">
        <f>IF(AND(C22&lt;&gt;0,T22&gt;3),"Es dürfen maximal 3 Positionen auf einem Rezept gedruckt werden!","")</f>
        <v/>
      </c>
    </row>
    <row r="23" spans="1:24" x14ac:dyDescent="0.25">
      <c r="A23" s="3">
        <v>17377588</v>
      </c>
      <c r="B23" s="3" t="s">
        <v>56</v>
      </c>
      <c r="C23" s="46"/>
      <c r="D23" s="32">
        <f t="shared" ref="D23:D31" si="49">ROUND(C23,0)</f>
        <v>0</v>
      </c>
      <c r="E23" s="32">
        <f>E22+C23</f>
        <v>0</v>
      </c>
      <c r="F23" s="11" t="str">
        <f t="shared" ref="F23:F31" si="50">IF(AND(C23&gt;0,X23="",J23&gt;=$K$3), N23+O23+P23, "")</f>
        <v/>
      </c>
      <c r="G23" s="33">
        <f t="shared" ref="G23:G31" si="51">IF(E23&lt;100,C23,IF(E23-C23&gt;100,0,MIN(100-(E23-C23))))</f>
        <v>0</v>
      </c>
      <c r="H23" s="33">
        <f t="shared" ref="H23:H31" si="52">IF(E23&lt;=100,0,IF(E23-C23&gt;150,0,MIN(150,E23)-MAX(100,E23-C23)))</f>
        <v>0</v>
      </c>
      <c r="I23" s="33">
        <f t="shared" ref="I23:I31" si="53">IF(E23&lt;=150,0,E23-MAX(150,E23-C23))</f>
        <v>0</v>
      </c>
      <c r="J23" s="34">
        <f t="shared" ref="J23:J31" si="54">F$20</f>
        <v>0</v>
      </c>
      <c r="K23" s="48" t="str">
        <f t="shared" ref="K23:K31" si="55">IF($J23&lt;$K$3, "", IF($J23&lt;$K$2,6.58,7.58))</f>
        <v/>
      </c>
      <c r="L23" s="48" t="str">
        <f t="shared" ref="L23:L31" si="56">IF($J23&lt;$K$3, "", IF($J23&lt;$K$2,4.28,4.92))</f>
        <v/>
      </c>
      <c r="M23" s="48" t="str">
        <f t="shared" ref="M23:M31" si="57">IF($J23&lt;$K$3, "", IF($J23&lt;$K$2,2.19,2.52))</f>
        <v/>
      </c>
      <c r="N23" s="35" t="str">
        <f t="shared" ref="N23:N31" si="58">IF($J23&lt;$K$3, "",G23*ROUND((K23+$Q23+$R23)*1.19,2))</f>
        <v/>
      </c>
      <c r="O23" s="35" t="str">
        <f t="shared" si="47"/>
        <v/>
      </c>
      <c r="P23" s="35" t="str">
        <f t="shared" si="48"/>
        <v/>
      </c>
      <c r="Q23" s="35">
        <f t="shared" ref="Q23:Q31" si="59">IF(J23&lt;$K$4,1.65,IF(J23&lt;$K$5,1.4,3.72))</f>
        <v>1.65</v>
      </c>
      <c r="R23" s="35">
        <f t="shared" ref="R23:R31" si="60">IF(J23&lt;$K$1,8.6,7.45)</f>
        <v>8.6</v>
      </c>
      <c r="S23" s="33">
        <f>IF(C23&gt;0,T22+1,0)</f>
        <v>0</v>
      </c>
      <c r="T23" s="33">
        <f>IF(C23&gt;0,T22+1,T22)</f>
        <v>0</v>
      </c>
      <c r="U23" s="33" t="str">
        <f t="shared" ref="U23:U31" si="61">IF(S23&gt;0,A23,"")</f>
        <v/>
      </c>
      <c r="V23" s="33" t="str">
        <f t="shared" ref="V23:V31" si="62">IF(S23&gt;0,C23,"")</f>
        <v/>
      </c>
      <c r="W23" s="42" t="str">
        <f t="shared" ref="W23:W31" si="63">IF(S23&gt;0,F23,"")</f>
        <v/>
      </c>
      <c r="X23" s="1" t="str">
        <f t="shared" ref="X23:X24" si="64">IF(AND(C23&lt;&gt;0,T23&gt;3),"Es dürfen maximal 3 Positionen auf einem Rezept gedruckt werden!","")</f>
        <v/>
      </c>
    </row>
    <row r="24" spans="1:24" x14ac:dyDescent="0.25">
      <c r="A24" s="3">
        <v>17377602</v>
      </c>
      <c r="B24" s="3" t="s">
        <v>49</v>
      </c>
      <c r="C24" s="46"/>
      <c r="D24" s="32">
        <f t="shared" si="49"/>
        <v>0</v>
      </c>
      <c r="E24" s="32">
        <f t="shared" ref="E24:E31" si="65">E23+C24</f>
        <v>0</v>
      </c>
      <c r="F24" s="11" t="str">
        <f t="shared" si="50"/>
        <v/>
      </c>
      <c r="G24" s="33">
        <f t="shared" si="51"/>
        <v>0</v>
      </c>
      <c r="H24" s="33">
        <f t="shared" si="52"/>
        <v>0</v>
      </c>
      <c r="I24" s="33">
        <f t="shared" si="53"/>
        <v>0</v>
      </c>
      <c r="J24" s="34">
        <f t="shared" si="54"/>
        <v>0</v>
      </c>
      <c r="K24" s="48" t="str">
        <f t="shared" si="55"/>
        <v/>
      </c>
      <c r="L24" s="48" t="str">
        <f t="shared" si="56"/>
        <v/>
      </c>
      <c r="M24" s="48" t="str">
        <f t="shared" si="57"/>
        <v/>
      </c>
      <c r="N24" s="35" t="str">
        <f t="shared" si="58"/>
        <v/>
      </c>
      <c r="O24" s="35" t="str">
        <f t="shared" si="47"/>
        <v/>
      </c>
      <c r="P24" s="35" t="str">
        <f t="shared" si="48"/>
        <v/>
      </c>
      <c r="Q24" s="35">
        <f>IF(J24&lt;$K$4,1.65,IF(J24&lt;$K$5,2.8,3.72))</f>
        <v>1.65</v>
      </c>
      <c r="R24" s="35">
        <f t="shared" si="60"/>
        <v>8.6</v>
      </c>
      <c r="S24" s="33">
        <f t="shared" ref="S24:S31" si="66">IF(C24&gt;0,T23+1,0)</f>
        <v>0</v>
      </c>
      <c r="T24" s="33">
        <f>IF(C24&gt;0,T23+1,T23)</f>
        <v>0</v>
      </c>
      <c r="U24" s="33" t="str">
        <f t="shared" si="61"/>
        <v/>
      </c>
      <c r="V24" s="33" t="str">
        <f t="shared" si="62"/>
        <v/>
      </c>
      <c r="W24" s="42" t="str">
        <f t="shared" si="63"/>
        <v/>
      </c>
      <c r="X24" s="1" t="str">
        <f t="shared" si="64"/>
        <v/>
      </c>
    </row>
    <row r="25" spans="1:24" x14ac:dyDescent="0.25">
      <c r="A25" s="3">
        <v>17377648</v>
      </c>
      <c r="B25" s="3" t="s">
        <v>57</v>
      </c>
      <c r="C25" s="46"/>
      <c r="D25" s="32">
        <f t="shared" si="49"/>
        <v>0</v>
      </c>
      <c r="E25" s="32">
        <f t="shared" si="65"/>
        <v>0</v>
      </c>
      <c r="F25" s="11" t="str">
        <f t="shared" si="50"/>
        <v/>
      </c>
      <c r="G25" s="33">
        <f t="shared" si="51"/>
        <v>0</v>
      </c>
      <c r="H25" s="33">
        <f t="shared" si="52"/>
        <v>0</v>
      </c>
      <c r="I25" s="33">
        <f t="shared" si="53"/>
        <v>0</v>
      </c>
      <c r="J25" s="34">
        <f t="shared" si="54"/>
        <v>0</v>
      </c>
      <c r="K25" s="48" t="str">
        <f t="shared" si="55"/>
        <v/>
      </c>
      <c r="L25" s="48" t="str">
        <f t="shared" si="56"/>
        <v/>
      </c>
      <c r="M25" s="48" t="str">
        <f t="shared" si="57"/>
        <v/>
      </c>
      <c r="N25" s="35" t="str">
        <f t="shared" si="58"/>
        <v/>
      </c>
      <c r="O25" s="35" t="str">
        <f t="shared" si="47"/>
        <v/>
      </c>
      <c r="P25" s="35" t="str">
        <f t="shared" si="48"/>
        <v/>
      </c>
      <c r="Q25" s="35">
        <f t="shared" si="59"/>
        <v>1.65</v>
      </c>
      <c r="R25" s="35">
        <f t="shared" si="60"/>
        <v>8.6</v>
      </c>
      <c r="S25" s="33">
        <f t="shared" si="66"/>
        <v>0</v>
      </c>
      <c r="T25" s="33">
        <f t="shared" ref="T25:T31" si="67">IF(C25&gt;0,T24+1,T24)</f>
        <v>0</v>
      </c>
      <c r="U25" s="33" t="str">
        <f t="shared" si="61"/>
        <v/>
      </c>
      <c r="V25" s="33" t="str">
        <f t="shared" si="62"/>
        <v/>
      </c>
      <c r="W25" s="42" t="str">
        <f t="shared" si="63"/>
        <v/>
      </c>
      <c r="X25" s="1" t="str">
        <f>IF(AND(C25&lt;&gt;0,T25&gt;3),"Es dürfen maximal 3 Positionen auf einem Rezept gedruckt werden!","")</f>
        <v/>
      </c>
    </row>
    <row r="26" spans="1:24" x14ac:dyDescent="0.25">
      <c r="A26" s="3">
        <v>17895975</v>
      </c>
      <c r="B26" s="3" t="s">
        <v>53</v>
      </c>
      <c r="C26" s="46"/>
      <c r="D26" s="32">
        <f t="shared" si="49"/>
        <v>0</v>
      </c>
      <c r="E26" s="32">
        <f t="shared" si="65"/>
        <v>0</v>
      </c>
      <c r="F26" s="11" t="str">
        <f t="shared" si="50"/>
        <v/>
      </c>
      <c r="G26" s="33">
        <f t="shared" si="51"/>
        <v>0</v>
      </c>
      <c r="H26" s="33">
        <f t="shared" si="52"/>
        <v>0</v>
      </c>
      <c r="I26" s="33">
        <f t="shared" si="53"/>
        <v>0</v>
      </c>
      <c r="J26" s="34">
        <f t="shared" si="54"/>
        <v>0</v>
      </c>
      <c r="K26" s="48" t="str">
        <f t="shared" si="55"/>
        <v/>
      </c>
      <c r="L26" s="48" t="str">
        <f t="shared" si="56"/>
        <v/>
      </c>
      <c r="M26" s="48" t="str">
        <f t="shared" si="57"/>
        <v/>
      </c>
      <c r="N26" s="35" t="str">
        <f t="shared" si="58"/>
        <v/>
      </c>
      <c r="O26" s="35" t="str">
        <f t="shared" si="47"/>
        <v/>
      </c>
      <c r="P26" s="35" t="str">
        <f t="shared" si="48"/>
        <v/>
      </c>
      <c r="Q26" s="35">
        <f t="shared" si="59"/>
        <v>1.65</v>
      </c>
      <c r="R26" s="35">
        <f t="shared" si="60"/>
        <v>8.6</v>
      </c>
      <c r="S26" s="33">
        <f t="shared" si="66"/>
        <v>0</v>
      </c>
      <c r="T26" s="33">
        <f t="shared" si="67"/>
        <v>0</v>
      </c>
      <c r="U26" s="33" t="str">
        <f t="shared" si="61"/>
        <v/>
      </c>
      <c r="V26" s="33" t="str">
        <f t="shared" si="62"/>
        <v/>
      </c>
      <c r="W26" s="42" t="str">
        <f t="shared" si="63"/>
        <v/>
      </c>
      <c r="X26" s="1" t="str">
        <f t="shared" ref="X26:X31" si="68">IF(AND(C26&lt;&gt;0,T26&gt;3),"Es dürfen maximal 3 Positionen auf einem Rezept gedruckt werden!","")</f>
        <v/>
      </c>
    </row>
    <row r="27" spans="1:24" x14ac:dyDescent="0.25">
      <c r="A27" s="3">
        <v>17899252</v>
      </c>
      <c r="B27" s="3" t="s">
        <v>58</v>
      </c>
      <c r="C27" s="46"/>
      <c r="D27" s="32">
        <f t="shared" si="49"/>
        <v>0</v>
      </c>
      <c r="E27" s="32">
        <f t="shared" si="65"/>
        <v>0</v>
      </c>
      <c r="F27" s="11" t="str">
        <f t="shared" si="50"/>
        <v/>
      </c>
      <c r="G27" s="33">
        <f t="shared" si="51"/>
        <v>0</v>
      </c>
      <c r="H27" s="33">
        <f t="shared" si="52"/>
        <v>0</v>
      </c>
      <c r="I27" s="33">
        <f t="shared" si="53"/>
        <v>0</v>
      </c>
      <c r="J27" s="34">
        <f t="shared" si="54"/>
        <v>0</v>
      </c>
      <c r="K27" s="48" t="str">
        <f t="shared" si="55"/>
        <v/>
      </c>
      <c r="L27" s="48" t="str">
        <f t="shared" si="56"/>
        <v/>
      </c>
      <c r="M27" s="48" t="str">
        <f t="shared" si="57"/>
        <v/>
      </c>
      <c r="N27" s="35" t="str">
        <f t="shared" si="58"/>
        <v/>
      </c>
      <c r="O27" s="35" t="str">
        <f t="shared" si="47"/>
        <v/>
      </c>
      <c r="P27" s="35" t="str">
        <f t="shared" si="48"/>
        <v/>
      </c>
      <c r="Q27" s="35">
        <f t="shared" si="59"/>
        <v>1.65</v>
      </c>
      <c r="R27" s="35">
        <f t="shared" si="60"/>
        <v>8.6</v>
      </c>
      <c r="S27" s="33">
        <f t="shared" si="66"/>
        <v>0</v>
      </c>
      <c r="T27" s="33">
        <f t="shared" si="67"/>
        <v>0</v>
      </c>
      <c r="U27" s="33" t="str">
        <f t="shared" si="61"/>
        <v/>
      </c>
      <c r="V27" s="33" t="str">
        <f t="shared" si="62"/>
        <v/>
      </c>
      <c r="W27" s="42" t="str">
        <f t="shared" si="63"/>
        <v/>
      </c>
      <c r="X27" s="1" t="str">
        <f t="shared" si="68"/>
        <v/>
      </c>
    </row>
    <row r="28" spans="1:24" x14ac:dyDescent="0.25">
      <c r="A28" s="3">
        <v>18294315</v>
      </c>
      <c r="B28" s="3" t="s">
        <v>59</v>
      </c>
      <c r="C28" s="46"/>
      <c r="D28" s="32">
        <f t="shared" si="49"/>
        <v>0</v>
      </c>
      <c r="E28" s="32">
        <f t="shared" si="65"/>
        <v>0</v>
      </c>
      <c r="F28" s="11" t="str">
        <f t="shared" si="50"/>
        <v/>
      </c>
      <c r="G28" s="33">
        <f t="shared" si="51"/>
        <v>0</v>
      </c>
      <c r="H28" s="33">
        <f t="shared" si="52"/>
        <v>0</v>
      </c>
      <c r="I28" s="33">
        <f t="shared" si="53"/>
        <v>0</v>
      </c>
      <c r="J28" s="34">
        <f t="shared" si="54"/>
        <v>0</v>
      </c>
      <c r="K28" s="48" t="str">
        <f t="shared" si="55"/>
        <v/>
      </c>
      <c r="L28" s="48" t="str">
        <f t="shared" si="56"/>
        <v/>
      </c>
      <c r="M28" s="48" t="str">
        <f t="shared" si="57"/>
        <v/>
      </c>
      <c r="N28" s="35" t="str">
        <f t="shared" si="58"/>
        <v/>
      </c>
      <c r="O28" s="35" t="str">
        <f t="shared" si="47"/>
        <v/>
      </c>
      <c r="P28" s="35" t="str">
        <f t="shared" si="48"/>
        <v/>
      </c>
      <c r="Q28" s="35">
        <f t="shared" si="59"/>
        <v>1.65</v>
      </c>
      <c r="R28" s="35">
        <f t="shared" si="60"/>
        <v>8.6</v>
      </c>
      <c r="S28" s="33">
        <f t="shared" si="66"/>
        <v>0</v>
      </c>
      <c r="T28" s="33">
        <f t="shared" si="67"/>
        <v>0</v>
      </c>
      <c r="U28" s="33" t="str">
        <f t="shared" si="61"/>
        <v/>
      </c>
      <c r="V28" s="33" t="str">
        <f t="shared" si="62"/>
        <v/>
      </c>
      <c r="W28" s="42" t="str">
        <f t="shared" si="63"/>
        <v/>
      </c>
      <c r="X28" s="1" t="str">
        <f t="shared" si="68"/>
        <v/>
      </c>
    </row>
    <row r="29" spans="1:24" x14ac:dyDescent="0.25">
      <c r="A29" s="3">
        <v>18296171</v>
      </c>
      <c r="B29" s="3" t="s">
        <v>60</v>
      </c>
      <c r="C29" s="46"/>
      <c r="D29" s="32">
        <f t="shared" si="49"/>
        <v>0</v>
      </c>
      <c r="E29" s="32">
        <f t="shared" si="65"/>
        <v>0</v>
      </c>
      <c r="F29" s="11" t="str">
        <f t="shared" si="50"/>
        <v/>
      </c>
      <c r="G29" s="33">
        <f t="shared" si="51"/>
        <v>0</v>
      </c>
      <c r="H29" s="33">
        <f t="shared" si="52"/>
        <v>0</v>
      </c>
      <c r="I29" s="33">
        <f t="shared" si="53"/>
        <v>0</v>
      </c>
      <c r="J29" s="34">
        <f t="shared" si="54"/>
        <v>0</v>
      </c>
      <c r="K29" s="48" t="str">
        <f t="shared" si="55"/>
        <v/>
      </c>
      <c r="L29" s="48" t="str">
        <f t="shared" si="56"/>
        <v/>
      </c>
      <c r="M29" s="48" t="str">
        <f t="shared" si="57"/>
        <v/>
      </c>
      <c r="N29" s="35" t="str">
        <f t="shared" si="58"/>
        <v/>
      </c>
      <c r="O29" s="35" t="str">
        <f t="shared" si="47"/>
        <v/>
      </c>
      <c r="P29" s="35" t="str">
        <f t="shared" si="48"/>
        <v/>
      </c>
      <c r="Q29" s="35">
        <f t="shared" si="59"/>
        <v>1.65</v>
      </c>
      <c r="R29" s="35">
        <f t="shared" si="60"/>
        <v>8.6</v>
      </c>
      <c r="S29" s="33">
        <f t="shared" si="66"/>
        <v>0</v>
      </c>
      <c r="T29" s="33">
        <f t="shared" si="67"/>
        <v>0</v>
      </c>
      <c r="U29" s="33" t="str">
        <f t="shared" si="61"/>
        <v/>
      </c>
      <c r="V29" s="33" t="str">
        <f t="shared" si="62"/>
        <v/>
      </c>
      <c r="W29" s="42" t="str">
        <f t="shared" si="63"/>
        <v/>
      </c>
      <c r="X29" s="1" t="str">
        <f t="shared" si="68"/>
        <v/>
      </c>
    </row>
    <row r="30" spans="1:24" x14ac:dyDescent="0.25">
      <c r="A30" s="3">
        <v>18276228</v>
      </c>
      <c r="B30" s="3" t="s">
        <v>61</v>
      </c>
      <c r="C30" s="46"/>
      <c r="D30" s="32">
        <f t="shared" si="49"/>
        <v>0</v>
      </c>
      <c r="E30" s="32">
        <f t="shared" si="65"/>
        <v>0</v>
      </c>
      <c r="F30" s="11" t="str">
        <f t="shared" si="50"/>
        <v/>
      </c>
      <c r="G30" s="33">
        <f t="shared" si="51"/>
        <v>0</v>
      </c>
      <c r="H30" s="33">
        <f t="shared" si="52"/>
        <v>0</v>
      </c>
      <c r="I30" s="33">
        <f t="shared" si="53"/>
        <v>0</v>
      </c>
      <c r="J30" s="34">
        <f t="shared" si="54"/>
        <v>0</v>
      </c>
      <c r="K30" s="48" t="str">
        <f t="shared" si="55"/>
        <v/>
      </c>
      <c r="L30" s="48" t="str">
        <f t="shared" si="56"/>
        <v/>
      </c>
      <c r="M30" s="48" t="str">
        <f t="shared" si="57"/>
        <v/>
      </c>
      <c r="N30" s="35" t="str">
        <f t="shared" si="58"/>
        <v/>
      </c>
      <c r="O30" s="35" t="str">
        <f t="shared" si="47"/>
        <v/>
      </c>
      <c r="P30" s="35" t="str">
        <f t="shared" si="48"/>
        <v/>
      </c>
      <c r="Q30" s="35">
        <f>IF(J30&lt;$K$4,1.65,IF(J30&lt;$K$5,2.8,3.72))</f>
        <v>1.65</v>
      </c>
      <c r="R30" s="35">
        <f t="shared" si="60"/>
        <v>8.6</v>
      </c>
      <c r="S30" s="33">
        <f t="shared" si="66"/>
        <v>0</v>
      </c>
      <c r="T30" s="33">
        <f t="shared" si="67"/>
        <v>0</v>
      </c>
      <c r="U30" s="33" t="str">
        <f t="shared" si="61"/>
        <v/>
      </c>
      <c r="V30" s="33" t="str">
        <f t="shared" si="62"/>
        <v/>
      </c>
      <c r="W30" s="42" t="str">
        <f t="shared" si="63"/>
        <v/>
      </c>
      <c r="X30" s="1" t="str">
        <f t="shared" si="68"/>
        <v/>
      </c>
    </row>
    <row r="31" spans="1:24" x14ac:dyDescent="0.25">
      <c r="A31" s="3">
        <v>18260368</v>
      </c>
      <c r="B31" s="3" t="s">
        <v>62</v>
      </c>
      <c r="C31" s="46"/>
      <c r="D31" s="32">
        <f t="shared" si="49"/>
        <v>0</v>
      </c>
      <c r="E31" s="32">
        <f t="shared" si="65"/>
        <v>0</v>
      </c>
      <c r="F31" s="11" t="str">
        <f t="shared" si="50"/>
        <v/>
      </c>
      <c r="G31" s="33">
        <f t="shared" si="51"/>
        <v>0</v>
      </c>
      <c r="H31" s="33">
        <f t="shared" si="52"/>
        <v>0</v>
      </c>
      <c r="I31" s="33">
        <f t="shared" si="53"/>
        <v>0</v>
      </c>
      <c r="J31" s="34">
        <f t="shared" si="54"/>
        <v>0</v>
      </c>
      <c r="K31" s="48" t="str">
        <f t="shared" si="55"/>
        <v/>
      </c>
      <c r="L31" s="48" t="str">
        <f t="shared" si="56"/>
        <v/>
      </c>
      <c r="M31" s="48" t="str">
        <f t="shared" si="57"/>
        <v/>
      </c>
      <c r="N31" s="35" t="str">
        <f t="shared" si="58"/>
        <v/>
      </c>
      <c r="O31" s="35" t="str">
        <f t="shared" si="47"/>
        <v/>
      </c>
      <c r="P31" s="35" t="str">
        <f t="shared" si="48"/>
        <v/>
      </c>
      <c r="Q31" s="35">
        <f t="shared" si="59"/>
        <v>1.65</v>
      </c>
      <c r="R31" s="35">
        <f t="shared" si="60"/>
        <v>8.6</v>
      </c>
      <c r="S31" s="33">
        <f t="shared" si="66"/>
        <v>0</v>
      </c>
      <c r="T31" s="33">
        <f t="shared" si="67"/>
        <v>0</v>
      </c>
      <c r="U31" s="33" t="str">
        <f t="shared" si="61"/>
        <v/>
      </c>
      <c r="V31" s="33" t="str">
        <f t="shared" si="62"/>
        <v/>
      </c>
      <c r="W31" s="42" t="str">
        <f t="shared" si="63"/>
        <v/>
      </c>
      <c r="X31" s="1" t="str">
        <f t="shared" si="68"/>
        <v/>
      </c>
    </row>
    <row r="32" spans="1:24" x14ac:dyDescent="0.25">
      <c r="A32" s="3"/>
      <c r="B32" s="2" t="s">
        <v>5</v>
      </c>
      <c r="C32" s="8">
        <f>SUM(C22:C31)</f>
        <v>0</v>
      </c>
      <c r="D32" s="32"/>
      <c r="E32" s="32"/>
      <c r="F32" s="11">
        <f>SUM(F22:F31)</f>
        <v>0</v>
      </c>
      <c r="X32" s="1"/>
    </row>
    <row r="33" spans="1:24" x14ac:dyDescent="0.25">
      <c r="A33" s="1"/>
      <c r="B33" s="1"/>
      <c r="C33" s="7"/>
      <c r="F33" s="7"/>
      <c r="X33" s="1"/>
    </row>
    <row r="34" spans="1:24" ht="15.75" x14ac:dyDescent="0.25">
      <c r="A34" s="51" t="s">
        <v>23</v>
      </c>
      <c r="B34" s="51"/>
      <c r="C34" s="6" t="s">
        <v>15</v>
      </c>
      <c r="D34" s="29"/>
      <c r="E34" s="30"/>
      <c r="F34" s="47"/>
      <c r="X34" s="1" t="str">
        <f>IF(F34&lt;$K$3, "Eine Belieferung der Ärzte kann erst ab dem 31.05.2021 erfolgen", "")</f>
        <v>Eine Belieferung der Ärzte kann erst ab dem 31.05.2021 erfolgen</v>
      </c>
    </row>
    <row r="35" spans="1:24" s="10" customFormat="1" x14ac:dyDescent="0.25">
      <c r="A35" s="2" t="s">
        <v>0</v>
      </c>
      <c r="B35" s="2" t="s">
        <v>4</v>
      </c>
      <c r="C35" s="2" t="s">
        <v>1</v>
      </c>
      <c r="D35" s="31" t="s">
        <v>41</v>
      </c>
      <c r="E35" s="31" t="s">
        <v>42</v>
      </c>
      <c r="F35" s="2" t="s">
        <v>2</v>
      </c>
      <c r="G35" s="41"/>
      <c r="H35" s="41"/>
      <c r="I35" s="41"/>
      <c r="J35" s="41"/>
      <c r="K35" s="41"/>
      <c r="L35" s="41"/>
      <c r="M35" s="41"/>
      <c r="N35" s="43"/>
      <c r="O35" s="43"/>
      <c r="P35" s="43"/>
      <c r="Q35" s="43"/>
      <c r="R35" s="43"/>
      <c r="S35" s="41"/>
      <c r="T35" s="41"/>
      <c r="U35" s="41"/>
      <c r="V35" s="41"/>
      <c r="W35" s="41"/>
      <c r="X35" s="44"/>
    </row>
    <row r="36" spans="1:24" x14ac:dyDescent="0.25">
      <c r="A36" s="3">
        <v>17377625</v>
      </c>
      <c r="B36" s="3" t="s">
        <v>3</v>
      </c>
      <c r="C36" s="46"/>
      <c r="D36" s="32">
        <f>ROUND(C36,0)</f>
        <v>0</v>
      </c>
      <c r="E36" s="32">
        <f>E31+D36</f>
        <v>0</v>
      </c>
      <c r="F36" s="11" t="str">
        <f>IF(AND(C36&gt;0,X36="",J36&gt;=$K$3), N36+O36+P36, "")</f>
        <v/>
      </c>
      <c r="G36" s="33">
        <f>IF(E36&lt;100,C36,IF(E36-C36&gt;100,0,MIN(100-(E36-C36))))</f>
        <v>0</v>
      </c>
      <c r="H36" s="33">
        <f>IF(E36&lt;=100,0,IF(E36-C36&gt;150,0,MIN(150,E36)-MAX(100,E36-C36)))</f>
        <v>0</v>
      </c>
      <c r="I36" s="33">
        <f>IF(E36&lt;=150,0,E36-MAX(150,E36-C36))</f>
        <v>0</v>
      </c>
      <c r="J36" s="34">
        <f>F$34</f>
        <v>0</v>
      </c>
      <c r="K36" s="48" t="str">
        <f>IF($J36&lt;$K$3, "", IF($J36&lt;$K$2,6.58,7.58))</f>
        <v/>
      </c>
      <c r="L36" s="48" t="str">
        <f>IF($J36&lt;$K$3, "", IF($J36&lt;$K$2,4.28,4.92))</f>
        <v/>
      </c>
      <c r="M36" s="48" t="str">
        <f>IF($J36&lt;$K$3, "", IF($J36&lt;$K$2,2.19,2.52))</f>
        <v/>
      </c>
      <c r="N36" s="35" t="str">
        <f>IF($J36&lt;$K$3, "",G36*ROUND((K36+$Q36+$R36)*1.19,2))</f>
        <v/>
      </c>
      <c r="O36" s="35" t="str">
        <f t="shared" ref="O36:O45" si="69">IF($J36&lt;$K$3, "",H36*ROUND((L36+$Q36+$R36)*1.19,2))</f>
        <v/>
      </c>
      <c r="P36" s="35" t="str">
        <f t="shared" ref="P36:P45" si="70">IF($J36&lt;$K$3, "",I36*ROUND((M36+$Q36+$R36)*1.19,2))</f>
        <v/>
      </c>
      <c r="Q36" s="35">
        <f>IF(J36&lt;$K$4,1.65,IF(J36&lt;$K$5,1.4,3.72))</f>
        <v>1.65</v>
      </c>
      <c r="R36" s="35">
        <f>IF(J36&lt;$K$1,8.6,7.45)</f>
        <v>8.6</v>
      </c>
      <c r="S36" s="33">
        <f>IF(C36&gt;0,1,0)</f>
        <v>0</v>
      </c>
      <c r="T36" s="33">
        <f>S36</f>
        <v>0</v>
      </c>
      <c r="U36" s="33" t="str">
        <f>IF(S36&gt;0,A36,"")</f>
        <v/>
      </c>
      <c r="V36" s="33" t="str">
        <f>IF(S36&gt;0,C36,"")</f>
        <v/>
      </c>
      <c r="W36" s="42" t="str">
        <f>IF(S36&gt;0,F36,"")</f>
        <v/>
      </c>
      <c r="X36" s="1" t="str">
        <f>IF(AND(C36&lt;&gt;0,T36&gt;3),"Es dürfen maximal 3 Positionen auf einem Rezept gedruckt werden!","")</f>
        <v/>
      </c>
    </row>
    <row r="37" spans="1:24" x14ac:dyDescent="0.25">
      <c r="A37" s="3">
        <v>17377588</v>
      </c>
      <c r="B37" s="3" t="s">
        <v>56</v>
      </c>
      <c r="C37" s="46"/>
      <c r="D37" s="32">
        <f t="shared" ref="D37:D45" si="71">ROUND(C37,0)</f>
        <v>0</v>
      </c>
      <c r="E37" s="32">
        <f>E36+C37</f>
        <v>0</v>
      </c>
      <c r="F37" s="11" t="str">
        <f t="shared" ref="F37:F45" si="72">IF(AND(C37&gt;0,X37="",J37&gt;=$K$3), N37+O37+P37, "")</f>
        <v/>
      </c>
      <c r="G37" s="33">
        <f t="shared" ref="G37:G45" si="73">IF(E37&lt;100,C37,IF(E37-C37&gt;100,0,MIN(100-(E37-C37))))</f>
        <v>0</v>
      </c>
      <c r="H37" s="33">
        <f t="shared" ref="H37:H45" si="74">IF(E37&lt;=100,0,IF(E37-C37&gt;150,0,MIN(150,E37)-MAX(100,E37-C37)))</f>
        <v>0</v>
      </c>
      <c r="I37" s="33">
        <f t="shared" ref="I37:I45" si="75">IF(E37&lt;=150,0,E37-MAX(150,E37-C37))</f>
        <v>0</v>
      </c>
      <c r="J37" s="34">
        <f t="shared" ref="J37:J45" si="76">F$34</f>
        <v>0</v>
      </c>
      <c r="K37" s="48" t="str">
        <f t="shared" ref="K37:K45" si="77">IF($J37&lt;$K$3, "", IF($J37&lt;$K$2,6.58,7.58))</f>
        <v/>
      </c>
      <c r="L37" s="48" t="str">
        <f t="shared" ref="L37:L45" si="78">IF($J37&lt;$K$3, "", IF($J37&lt;$K$2,4.28,4.92))</f>
        <v/>
      </c>
      <c r="M37" s="48" t="str">
        <f t="shared" ref="M37:M45" si="79">IF($J37&lt;$K$3, "", IF($J37&lt;$K$2,2.19,2.52))</f>
        <v/>
      </c>
      <c r="N37" s="35" t="str">
        <f t="shared" ref="N37:N45" si="80">IF($J37&lt;$K$3, "",G37*ROUND((K37+$Q37+$R37)*1.19,2))</f>
        <v/>
      </c>
      <c r="O37" s="35" t="str">
        <f t="shared" si="69"/>
        <v/>
      </c>
      <c r="P37" s="35" t="str">
        <f t="shared" si="70"/>
        <v/>
      </c>
      <c r="Q37" s="35">
        <f t="shared" ref="Q37:Q45" si="81">IF(J37&lt;$K$4,1.65,IF(J37&lt;$K$5,1.4,3.72))</f>
        <v>1.65</v>
      </c>
      <c r="R37" s="35">
        <f t="shared" ref="R37:R45" si="82">IF(J37&lt;$K$1,8.6,7.45)</f>
        <v>8.6</v>
      </c>
      <c r="S37" s="33">
        <f>IF(C37&gt;0,T36+1,0)</f>
        <v>0</v>
      </c>
      <c r="T37" s="33">
        <f>IF(C37&gt;0,T36+1,T36)</f>
        <v>0</v>
      </c>
      <c r="U37" s="33" t="str">
        <f t="shared" ref="U37:U45" si="83">IF(S37&gt;0,A37,"")</f>
        <v/>
      </c>
      <c r="V37" s="33" t="str">
        <f t="shared" ref="V37:V45" si="84">IF(S37&gt;0,C37,"")</f>
        <v/>
      </c>
      <c r="W37" s="42" t="str">
        <f t="shared" ref="W37:W45" si="85">IF(S37&gt;0,F37,"")</f>
        <v/>
      </c>
      <c r="X37" s="1" t="str">
        <f t="shared" ref="X37:X38" si="86">IF(AND(C37&lt;&gt;0,T37&gt;3),"Es dürfen maximal 3 Positionen auf einem Rezept gedruckt werden!","")</f>
        <v/>
      </c>
    </row>
    <row r="38" spans="1:24" x14ac:dyDescent="0.25">
      <c r="A38" s="3">
        <v>17377602</v>
      </c>
      <c r="B38" s="3" t="s">
        <v>49</v>
      </c>
      <c r="C38" s="46"/>
      <c r="D38" s="32">
        <f t="shared" si="71"/>
        <v>0</v>
      </c>
      <c r="E38" s="32">
        <f t="shared" ref="E38:E45" si="87">E37+C38</f>
        <v>0</v>
      </c>
      <c r="F38" s="11" t="str">
        <f t="shared" si="72"/>
        <v/>
      </c>
      <c r="G38" s="33">
        <f t="shared" si="73"/>
        <v>0</v>
      </c>
      <c r="H38" s="33">
        <f t="shared" si="74"/>
        <v>0</v>
      </c>
      <c r="I38" s="33">
        <f t="shared" si="75"/>
        <v>0</v>
      </c>
      <c r="J38" s="34">
        <f t="shared" si="76"/>
        <v>0</v>
      </c>
      <c r="K38" s="48" t="str">
        <f t="shared" si="77"/>
        <v/>
      </c>
      <c r="L38" s="48" t="str">
        <f t="shared" si="78"/>
        <v/>
      </c>
      <c r="M38" s="48" t="str">
        <f t="shared" si="79"/>
        <v/>
      </c>
      <c r="N38" s="35" t="str">
        <f t="shared" si="80"/>
        <v/>
      </c>
      <c r="O38" s="35" t="str">
        <f t="shared" si="69"/>
        <v/>
      </c>
      <c r="P38" s="35" t="str">
        <f t="shared" si="70"/>
        <v/>
      </c>
      <c r="Q38" s="35">
        <f>IF(J38&lt;$K$4,1.65,IF(J38&lt;$K$5,2.8,3.72))</f>
        <v>1.65</v>
      </c>
      <c r="R38" s="35">
        <f t="shared" si="82"/>
        <v>8.6</v>
      </c>
      <c r="S38" s="33">
        <f t="shared" ref="S38:S45" si="88">IF(C38&gt;0,T37+1,0)</f>
        <v>0</v>
      </c>
      <c r="T38" s="33">
        <f>IF(C38&gt;0,T37+1,T37)</f>
        <v>0</v>
      </c>
      <c r="U38" s="33" t="str">
        <f t="shared" si="83"/>
        <v/>
      </c>
      <c r="V38" s="33" t="str">
        <f t="shared" si="84"/>
        <v/>
      </c>
      <c r="W38" s="42" t="str">
        <f t="shared" si="85"/>
        <v/>
      </c>
      <c r="X38" s="1" t="str">
        <f t="shared" si="86"/>
        <v/>
      </c>
    </row>
    <row r="39" spans="1:24" x14ac:dyDescent="0.25">
      <c r="A39" s="3">
        <v>17377648</v>
      </c>
      <c r="B39" s="3" t="s">
        <v>57</v>
      </c>
      <c r="C39" s="46"/>
      <c r="D39" s="32">
        <f t="shared" si="71"/>
        <v>0</v>
      </c>
      <c r="E39" s="32">
        <f t="shared" si="87"/>
        <v>0</v>
      </c>
      <c r="F39" s="11" t="str">
        <f t="shared" si="72"/>
        <v/>
      </c>
      <c r="G39" s="33">
        <f t="shared" si="73"/>
        <v>0</v>
      </c>
      <c r="H39" s="33">
        <f t="shared" si="74"/>
        <v>0</v>
      </c>
      <c r="I39" s="33">
        <f t="shared" si="75"/>
        <v>0</v>
      </c>
      <c r="J39" s="34">
        <f t="shared" si="76"/>
        <v>0</v>
      </c>
      <c r="K39" s="48" t="str">
        <f t="shared" si="77"/>
        <v/>
      </c>
      <c r="L39" s="48" t="str">
        <f t="shared" si="78"/>
        <v/>
      </c>
      <c r="M39" s="48" t="str">
        <f t="shared" si="79"/>
        <v/>
      </c>
      <c r="N39" s="35" t="str">
        <f t="shared" si="80"/>
        <v/>
      </c>
      <c r="O39" s="35" t="str">
        <f t="shared" si="69"/>
        <v/>
      </c>
      <c r="P39" s="35" t="str">
        <f t="shared" si="70"/>
        <v/>
      </c>
      <c r="Q39" s="35">
        <f t="shared" si="81"/>
        <v>1.65</v>
      </c>
      <c r="R39" s="35">
        <f t="shared" si="82"/>
        <v>8.6</v>
      </c>
      <c r="S39" s="33">
        <f t="shared" si="88"/>
        <v>0</v>
      </c>
      <c r="T39" s="33">
        <f t="shared" ref="T39:T45" si="89">IF(C39&gt;0,T38+1,T38)</f>
        <v>0</v>
      </c>
      <c r="U39" s="33" t="str">
        <f t="shared" si="83"/>
        <v/>
      </c>
      <c r="V39" s="33" t="str">
        <f t="shared" si="84"/>
        <v/>
      </c>
      <c r="W39" s="42" t="str">
        <f t="shared" si="85"/>
        <v/>
      </c>
      <c r="X39" s="1" t="str">
        <f>IF(AND(C39&lt;&gt;0,T39&gt;3),"Es dürfen maximal 3 Positionen auf einem Rezept gedruckt werden!","")</f>
        <v/>
      </c>
    </row>
    <row r="40" spans="1:24" x14ac:dyDescent="0.25">
      <c r="A40" s="3">
        <v>17895975</v>
      </c>
      <c r="B40" s="3" t="s">
        <v>53</v>
      </c>
      <c r="C40" s="46"/>
      <c r="D40" s="32">
        <f t="shared" si="71"/>
        <v>0</v>
      </c>
      <c r="E40" s="32">
        <f t="shared" si="87"/>
        <v>0</v>
      </c>
      <c r="F40" s="11" t="str">
        <f t="shared" si="72"/>
        <v/>
      </c>
      <c r="G40" s="33">
        <f t="shared" si="73"/>
        <v>0</v>
      </c>
      <c r="H40" s="33">
        <f t="shared" si="74"/>
        <v>0</v>
      </c>
      <c r="I40" s="33">
        <f t="shared" si="75"/>
        <v>0</v>
      </c>
      <c r="J40" s="34">
        <f t="shared" si="76"/>
        <v>0</v>
      </c>
      <c r="K40" s="48" t="str">
        <f t="shared" si="77"/>
        <v/>
      </c>
      <c r="L40" s="48" t="str">
        <f t="shared" si="78"/>
        <v/>
      </c>
      <c r="M40" s="48" t="str">
        <f t="shared" si="79"/>
        <v/>
      </c>
      <c r="N40" s="35" t="str">
        <f t="shared" si="80"/>
        <v/>
      </c>
      <c r="O40" s="35" t="str">
        <f t="shared" si="69"/>
        <v/>
      </c>
      <c r="P40" s="35" t="str">
        <f t="shared" si="70"/>
        <v/>
      </c>
      <c r="Q40" s="35">
        <f t="shared" si="81"/>
        <v>1.65</v>
      </c>
      <c r="R40" s="35">
        <f t="shared" si="82"/>
        <v>8.6</v>
      </c>
      <c r="S40" s="33">
        <f t="shared" si="88"/>
        <v>0</v>
      </c>
      <c r="T40" s="33">
        <f t="shared" si="89"/>
        <v>0</v>
      </c>
      <c r="U40" s="33" t="str">
        <f t="shared" si="83"/>
        <v/>
      </c>
      <c r="V40" s="33" t="str">
        <f t="shared" si="84"/>
        <v/>
      </c>
      <c r="W40" s="42" t="str">
        <f t="shared" si="85"/>
        <v/>
      </c>
      <c r="X40" s="1" t="str">
        <f t="shared" ref="X40:X45" si="90">IF(AND(C40&lt;&gt;0,T40&gt;3),"Es dürfen maximal 3 Positionen auf einem Rezept gedruckt werden!","")</f>
        <v/>
      </c>
    </row>
    <row r="41" spans="1:24" x14ac:dyDescent="0.25">
      <c r="A41" s="3">
        <v>17899252</v>
      </c>
      <c r="B41" s="3" t="s">
        <v>58</v>
      </c>
      <c r="C41" s="46"/>
      <c r="D41" s="32">
        <f t="shared" si="71"/>
        <v>0</v>
      </c>
      <c r="E41" s="32">
        <f t="shared" si="87"/>
        <v>0</v>
      </c>
      <c r="F41" s="11" t="str">
        <f t="shared" si="72"/>
        <v/>
      </c>
      <c r="G41" s="33">
        <f t="shared" si="73"/>
        <v>0</v>
      </c>
      <c r="H41" s="33">
        <f t="shared" si="74"/>
        <v>0</v>
      </c>
      <c r="I41" s="33">
        <f t="shared" si="75"/>
        <v>0</v>
      </c>
      <c r="J41" s="34">
        <f t="shared" si="76"/>
        <v>0</v>
      </c>
      <c r="K41" s="48" t="str">
        <f t="shared" si="77"/>
        <v/>
      </c>
      <c r="L41" s="48" t="str">
        <f t="shared" si="78"/>
        <v/>
      </c>
      <c r="M41" s="48" t="str">
        <f t="shared" si="79"/>
        <v/>
      </c>
      <c r="N41" s="35" t="str">
        <f t="shared" si="80"/>
        <v/>
      </c>
      <c r="O41" s="35" t="str">
        <f t="shared" si="69"/>
        <v/>
      </c>
      <c r="P41" s="35" t="str">
        <f t="shared" si="70"/>
        <v/>
      </c>
      <c r="Q41" s="35">
        <f t="shared" si="81"/>
        <v>1.65</v>
      </c>
      <c r="R41" s="35">
        <f t="shared" si="82"/>
        <v>8.6</v>
      </c>
      <c r="S41" s="33">
        <f t="shared" si="88"/>
        <v>0</v>
      </c>
      <c r="T41" s="33">
        <f t="shared" si="89"/>
        <v>0</v>
      </c>
      <c r="U41" s="33" t="str">
        <f t="shared" si="83"/>
        <v/>
      </c>
      <c r="V41" s="33" t="str">
        <f t="shared" si="84"/>
        <v/>
      </c>
      <c r="W41" s="42" t="str">
        <f t="shared" si="85"/>
        <v/>
      </c>
      <c r="X41" s="1" t="str">
        <f t="shared" si="90"/>
        <v/>
      </c>
    </row>
    <row r="42" spans="1:24" x14ac:dyDescent="0.25">
      <c r="A42" s="3">
        <v>18294315</v>
      </c>
      <c r="B42" s="3" t="s">
        <v>59</v>
      </c>
      <c r="C42" s="46"/>
      <c r="D42" s="32">
        <f t="shared" si="71"/>
        <v>0</v>
      </c>
      <c r="E42" s="32">
        <f t="shared" si="87"/>
        <v>0</v>
      </c>
      <c r="F42" s="11" t="str">
        <f t="shared" si="72"/>
        <v/>
      </c>
      <c r="G42" s="33">
        <f t="shared" si="73"/>
        <v>0</v>
      </c>
      <c r="H42" s="33">
        <f t="shared" si="74"/>
        <v>0</v>
      </c>
      <c r="I42" s="33">
        <f t="shared" si="75"/>
        <v>0</v>
      </c>
      <c r="J42" s="34">
        <f t="shared" si="76"/>
        <v>0</v>
      </c>
      <c r="K42" s="48" t="str">
        <f t="shared" si="77"/>
        <v/>
      </c>
      <c r="L42" s="48" t="str">
        <f t="shared" si="78"/>
        <v/>
      </c>
      <c r="M42" s="48" t="str">
        <f t="shared" si="79"/>
        <v/>
      </c>
      <c r="N42" s="35" t="str">
        <f t="shared" si="80"/>
        <v/>
      </c>
      <c r="O42" s="35" t="str">
        <f t="shared" si="69"/>
        <v/>
      </c>
      <c r="P42" s="35" t="str">
        <f t="shared" si="70"/>
        <v/>
      </c>
      <c r="Q42" s="35">
        <f t="shared" si="81"/>
        <v>1.65</v>
      </c>
      <c r="R42" s="35">
        <f t="shared" si="82"/>
        <v>8.6</v>
      </c>
      <c r="S42" s="33">
        <f t="shared" si="88"/>
        <v>0</v>
      </c>
      <c r="T42" s="33">
        <f t="shared" si="89"/>
        <v>0</v>
      </c>
      <c r="U42" s="33" t="str">
        <f t="shared" si="83"/>
        <v/>
      </c>
      <c r="V42" s="33" t="str">
        <f t="shared" si="84"/>
        <v/>
      </c>
      <c r="W42" s="42" t="str">
        <f t="shared" si="85"/>
        <v/>
      </c>
      <c r="X42" s="1" t="str">
        <f t="shared" si="90"/>
        <v/>
      </c>
    </row>
    <row r="43" spans="1:24" x14ac:dyDescent="0.25">
      <c r="A43" s="3">
        <v>18296171</v>
      </c>
      <c r="B43" s="3" t="s">
        <v>60</v>
      </c>
      <c r="C43" s="46"/>
      <c r="D43" s="32">
        <f t="shared" si="71"/>
        <v>0</v>
      </c>
      <c r="E43" s="32">
        <f t="shared" si="87"/>
        <v>0</v>
      </c>
      <c r="F43" s="11" t="str">
        <f t="shared" si="72"/>
        <v/>
      </c>
      <c r="G43" s="33">
        <f t="shared" si="73"/>
        <v>0</v>
      </c>
      <c r="H43" s="33">
        <f t="shared" si="74"/>
        <v>0</v>
      </c>
      <c r="I43" s="33">
        <f t="shared" si="75"/>
        <v>0</v>
      </c>
      <c r="J43" s="34">
        <f t="shared" si="76"/>
        <v>0</v>
      </c>
      <c r="K43" s="48" t="str">
        <f t="shared" si="77"/>
        <v/>
      </c>
      <c r="L43" s="48" t="str">
        <f t="shared" si="78"/>
        <v/>
      </c>
      <c r="M43" s="48" t="str">
        <f t="shared" si="79"/>
        <v/>
      </c>
      <c r="N43" s="35" t="str">
        <f t="shared" si="80"/>
        <v/>
      </c>
      <c r="O43" s="35" t="str">
        <f t="shared" si="69"/>
        <v/>
      </c>
      <c r="P43" s="35" t="str">
        <f t="shared" si="70"/>
        <v/>
      </c>
      <c r="Q43" s="35">
        <f t="shared" si="81"/>
        <v>1.65</v>
      </c>
      <c r="R43" s="35">
        <f t="shared" si="82"/>
        <v>8.6</v>
      </c>
      <c r="S43" s="33">
        <f t="shared" si="88"/>
        <v>0</v>
      </c>
      <c r="T43" s="33">
        <f t="shared" si="89"/>
        <v>0</v>
      </c>
      <c r="U43" s="33" t="str">
        <f t="shared" si="83"/>
        <v/>
      </c>
      <c r="V43" s="33" t="str">
        <f t="shared" si="84"/>
        <v/>
      </c>
      <c r="W43" s="42" t="str">
        <f t="shared" si="85"/>
        <v/>
      </c>
      <c r="X43" s="1" t="str">
        <f t="shared" si="90"/>
        <v/>
      </c>
    </row>
    <row r="44" spans="1:24" x14ac:dyDescent="0.25">
      <c r="A44" s="3">
        <v>18276228</v>
      </c>
      <c r="B44" s="3" t="s">
        <v>61</v>
      </c>
      <c r="C44" s="46"/>
      <c r="D44" s="32">
        <f t="shared" si="71"/>
        <v>0</v>
      </c>
      <c r="E44" s="32">
        <f t="shared" si="87"/>
        <v>0</v>
      </c>
      <c r="F44" s="11" t="str">
        <f t="shared" si="72"/>
        <v/>
      </c>
      <c r="G44" s="33">
        <f t="shared" si="73"/>
        <v>0</v>
      </c>
      <c r="H44" s="33">
        <f t="shared" si="74"/>
        <v>0</v>
      </c>
      <c r="I44" s="33">
        <f t="shared" si="75"/>
        <v>0</v>
      </c>
      <c r="J44" s="34">
        <f t="shared" si="76"/>
        <v>0</v>
      </c>
      <c r="K44" s="48" t="str">
        <f t="shared" si="77"/>
        <v/>
      </c>
      <c r="L44" s="48" t="str">
        <f t="shared" si="78"/>
        <v/>
      </c>
      <c r="M44" s="48" t="str">
        <f t="shared" si="79"/>
        <v/>
      </c>
      <c r="N44" s="35" t="str">
        <f t="shared" si="80"/>
        <v/>
      </c>
      <c r="O44" s="35" t="str">
        <f t="shared" si="69"/>
        <v/>
      </c>
      <c r="P44" s="35" t="str">
        <f t="shared" si="70"/>
        <v/>
      </c>
      <c r="Q44" s="35">
        <f>IF(J44&lt;$K$4,1.65,IF(J44&lt;$K$5,2.8,3.72))</f>
        <v>1.65</v>
      </c>
      <c r="R44" s="35">
        <f t="shared" si="82"/>
        <v>8.6</v>
      </c>
      <c r="S44" s="33">
        <f t="shared" si="88"/>
        <v>0</v>
      </c>
      <c r="T44" s="33">
        <f t="shared" si="89"/>
        <v>0</v>
      </c>
      <c r="U44" s="33" t="str">
        <f t="shared" si="83"/>
        <v/>
      </c>
      <c r="V44" s="33" t="str">
        <f t="shared" si="84"/>
        <v/>
      </c>
      <c r="W44" s="42" t="str">
        <f t="shared" si="85"/>
        <v/>
      </c>
      <c r="X44" s="1" t="str">
        <f t="shared" si="90"/>
        <v/>
      </c>
    </row>
    <row r="45" spans="1:24" x14ac:dyDescent="0.25">
      <c r="A45" s="3">
        <v>18260368</v>
      </c>
      <c r="B45" s="3" t="s">
        <v>62</v>
      </c>
      <c r="C45" s="46"/>
      <c r="D45" s="32">
        <f t="shared" si="71"/>
        <v>0</v>
      </c>
      <c r="E45" s="32">
        <f t="shared" si="87"/>
        <v>0</v>
      </c>
      <c r="F45" s="11" t="str">
        <f t="shared" si="72"/>
        <v/>
      </c>
      <c r="G45" s="33">
        <f t="shared" si="73"/>
        <v>0</v>
      </c>
      <c r="H45" s="33">
        <f t="shared" si="74"/>
        <v>0</v>
      </c>
      <c r="I45" s="33">
        <f t="shared" si="75"/>
        <v>0</v>
      </c>
      <c r="J45" s="34">
        <f t="shared" si="76"/>
        <v>0</v>
      </c>
      <c r="K45" s="48" t="str">
        <f t="shared" si="77"/>
        <v/>
      </c>
      <c r="L45" s="48" t="str">
        <f t="shared" si="78"/>
        <v/>
      </c>
      <c r="M45" s="48" t="str">
        <f t="shared" si="79"/>
        <v/>
      </c>
      <c r="N45" s="35" t="str">
        <f t="shared" si="80"/>
        <v/>
      </c>
      <c r="O45" s="35" t="str">
        <f t="shared" si="69"/>
        <v/>
      </c>
      <c r="P45" s="35" t="str">
        <f t="shared" si="70"/>
        <v/>
      </c>
      <c r="Q45" s="35">
        <f t="shared" si="81"/>
        <v>1.65</v>
      </c>
      <c r="R45" s="35">
        <f t="shared" si="82"/>
        <v>8.6</v>
      </c>
      <c r="S45" s="33">
        <f t="shared" si="88"/>
        <v>0</v>
      </c>
      <c r="T45" s="33">
        <f t="shared" si="89"/>
        <v>0</v>
      </c>
      <c r="U45" s="33" t="str">
        <f t="shared" si="83"/>
        <v/>
      </c>
      <c r="V45" s="33" t="str">
        <f t="shared" si="84"/>
        <v/>
      </c>
      <c r="W45" s="42" t="str">
        <f t="shared" si="85"/>
        <v/>
      </c>
      <c r="X45" s="1" t="str">
        <f t="shared" si="90"/>
        <v/>
      </c>
    </row>
    <row r="46" spans="1:24" x14ac:dyDescent="0.25">
      <c r="A46" s="3"/>
      <c r="B46" s="2" t="s">
        <v>5</v>
      </c>
      <c r="C46" s="8">
        <f>SUM(C36:C45)</f>
        <v>0</v>
      </c>
      <c r="D46" s="32"/>
      <c r="E46" s="32"/>
      <c r="F46" s="11">
        <f>SUM(F36:F45)</f>
        <v>0</v>
      </c>
      <c r="X46" s="1"/>
    </row>
    <row r="47" spans="1:24" x14ac:dyDescent="0.25">
      <c r="A47" s="1"/>
      <c r="B47" s="1"/>
      <c r="C47" s="7"/>
      <c r="F47" s="7"/>
      <c r="X47" s="1"/>
    </row>
    <row r="48" spans="1:24" ht="15.75" x14ac:dyDescent="0.25">
      <c r="A48" s="51" t="s">
        <v>24</v>
      </c>
      <c r="B48" s="51"/>
      <c r="C48" s="6" t="s">
        <v>15</v>
      </c>
      <c r="D48" s="29"/>
      <c r="E48" s="30"/>
      <c r="F48" s="47"/>
      <c r="X48" s="1" t="str">
        <f>IF(F48&lt;$K$3, "Eine Belieferung der Ärzte kann erst ab dem 31.05.2021 erfolgen", "")</f>
        <v>Eine Belieferung der Ärzte kann erst ab dem 31.05.2021 erfolgen</v>
      </c>
    </row>
    <row r="49" spans="1:24" s="10" customFormat="1" x14ac:dyDescent="0.25">
      <c r="A49" s="2" t="s">
        <v>0</v>
      </c>
      <c r="B49" s="2" t="s">
        <v>4</v>
      </c>
      <c r="C49" s="2" t="s">
        <v>1</v>
      </c>
      <c r="D49" s="31" t="s">
        <v>41</v>
      </c>
      <c r="E49" s="31" t="s">
        <v>42</v>
      </c>
      <c r="F49" s="2" t="s">
        <v>2</v>
      </c>
      <c r="G49" s="41"/>
      <c r="H49" s="41"/>
      <c r="I49" s="41"/>
      <c r="J49" s="41"/>
      <c r="K49" s="41"/>
      <c r="L49" s="41"/>
      <c r="M49" s="41"/>
      <c r="N49" s="43"/>
      <c r="O49" s="43"/>
      <c r="P49" s="43"/>
      <c r="Q49" s="43"/>
      <c r="R49" s="43"/>
      <c r="S49" s="41"/>
      <c r="T49" s="41"/>
      <c r="U49" s="41"/>
      <c r="V49" s="41"/>
      <c r="W49" s="41"/>
      <c r="X49" s="44"/>
    </row>
    <row r="50" spans="1:24" x14ac:dyDescent="0.25">
      <c r="A50" s="3">
        <v>17377625</v>
      </c>
      <c r="B50" s="3" t="s">
        <v>3</v>
      </c>
      <c r="C50" s="46"/>
      <c r="D50" s="32">
        <f>ROUND(C50,0)</f>
        <v>0</v>
      </c>
      <c r="E50" s="32">
        <f>E45+D50</f>
        <v>0</v>
      </c>
      <c r="F50" s="11" t="str">
        <f>IF(AND(C50&gt;0,X50="",J50&gt;=$K$3), N50+O50+P50, "")</f>
        <v/>
      </c>
      <c r="G50" s="33">
        <f>IF(E50&lt;100,C50,IF(E50-C50&gt;100,0,MIN(100-(E50-C50))))</f>
        <v>0</v>
      </c>
      <c r="H50" s="33">
        <f>IF(E50&lt;=100,0,IF(E50-C50&gt;150,0,MIN(150,E50)-MAX(100,E50-C50)))</f>
        <v>0</v>
      </c>
      <c r="I50" s="33">
        <f>IF(E50&lt;=150,0,E50-MAX(150,E50-C50))</f>
        <v>0</v>
      </c>
      <c r="J50" s="34">
        <f>F$48</f>
        <v>0</v>
      </c>
      <c r="K50" s="48" t="str">
        <f>IF($J50&lt;$K$3, "", IF($J50&lt;$K$2,6.58,7.58))</f>
        <v/>
      </c>
      <c r="L50" s="48" t="str">
        <f>IF($J50&lt;$K$3, "", IF($J50&lt;$K$2,4.28,4.92))</f>
        <v/>
      </c>
      <c r="M50" s="48" t="str">
        <f>IF($J50&lt;$K$3, "", IF($J50&lt;$K$2,2.19,2.52))</f>
        <v/>
      </c>
      <c r="N50" s="35" t="str">
        <f>IF($J50&lt;$K$3, "",G50*ROUND((K50+$Q50+$R50)*1.19,2))</f>
        <v/>
      </c>
      <c r="O50" s="35" t="str">
        <f t="shared" ref="O50:O59" si="91">IF($J50&lt;$K$3, "",H50*ROUND((L50+$Q50+$R50)*1.19,2))</f>
        <v/>
      </c>
      <c r="P50" s="35" t="str">
        <f t="shared" ref="P50:P59" si="92">IF($J50&lt;$K$3, "",I50*ROUND((M50+$Q50+$R50)*1.19,2))</f>
        <v/>
      </c>
      <c r="Q50" s="35">
        <f>IF(J50&lt;$K$4,1.65,IF(J50&lt;$K$5,1.4,3.72))</f>
        <v>1.65</v>
      </c>
      <c r="R50" s="35">
        <f>IF(J50&lt;$K$1,8.6,7.45)</f>
        <v>8.6</v>
      </c>
      <c r="S50" s="33">
        <f>IF(C50&gt;0,1,0)</f>
        <v>0</v>
      </c>
      <c r="T50" s="33">
        <f>S50</f>
        <v>0</v>
      </c>
      <c r="U50" s="33" t="str">
        <f>IF(S50&gt;0,A50,"")</f>
        <v/>
      </c>
      <c r="V50" s="33" t="str">
        <f>IF(S50&gt;0,C50,"")</f>
        <v/>
      </c>
      <c r="W50" s="42" t="str">
        <f>IF(S50&gt;0,F50,"")</f>
        <v/>
      </c>
      <c r="X50" s="1" t="str">
        <f>IF(AND(C50&lt;&gt;0,T50&gt;3),"Es dürfen maximal 3 Positionen auf einem Rezept gedruckt werden!","")</f>
        <v/>
      </c>
    </row>
    <row r="51" spans="1:24" x14ac:dyDescent="0.25">
      <c r="A51" s="3">
        <v>17377588</v>
      </c>
      <c r="B51" s="3" t="s">
        <v>56</v>
      </c>
      <c r="C51" s="46"/>
      <c r="D51" s="32">
        <f t="shared" ref="D51:D59" si="93">ROUND(C51,0)</f>
        <v>0</v>
      </c>
      <c r="E51" s="32">
        <f>E50+C51</f>
        <v>0</v>
      </c>
      <c r="F51" s="11" t="str">
        <f t="shared" ref="F51:F59" si="94">IF(AND(C51&gt;0,X51="",J51&gt;=$K$3), N51+O51+P51, "")</f>
        <v/>
      </c>
      <c r="G51" s="33">
        <f t="shared" ref="G51:G59" si="95">IF(E51&lt;100,C51,IF(E51-C51&gt;100,0,MIN(100-(E51-C51))))</f>
        <v>0</v>
      </c>
      <c r="H51" s="33">
        <f t="shared" ref="H51:H59" si="96">IF(E51&lt;=100,0,IF(E51-C51&gt;150,0,MIN(150,E51)-MAX(100,E51-C51)))</f>
        <v>0</v>
      </c>
      <c r="I51" s="33">
        <f t="shared" ref="I51:I59" si="97">IF(E51&lt;=150,0,E51-MAX(150,E51-C51))</f>
        <v>0</v>
      </c>
      <c r="J51" s="34">
        <f t="shared" ref="J51:J59" si="98">F$48</f>
        <v>0</v>
      </c>
      <c r="K51" s="48" t="str">
        <f t="shared" ref="K51:K59" si="99">IF($J51&lt;$K$3, "", IF($J51&lt;$K$2,6.58,7.58))</f>
        <v/>
      </c>
      <c r="L51" s="48" t="str">
        <f t="shared" ref="L51:L59" si="100">IF($J51&lt;$K$3, "", IF($J51&lt;$K$2,4.28,4.92))</f>
        <v/>
      </c>
      <c r="M51" s="48" t="str">
        <f t="shared" ref="M51:M59" si="101">IF($J51&lt;$K$3, "", IF($J51&lt;$K$2,2.19,2.52))</f>
        <v/>
      </c>
      <c r="N51" s="35" t="str">
        <f t="shared" ref="N51:N59" si="102">IF($J51&lt;$K$3, "",G51*ROUND((K51+$Q51+$R51)*1.19,2))</f>
        <v/>
      </c>
      <c r="O51" s="35" t="str">
        <f t="shared" si="91"/>
        <v/>
      </c>
      <c r="P51" s="35" t="str">
        <f t="shared" si="92"/>
        <v/>
      </c>
      <c r="Q51" s="35">
        <f t="shared" ref="Q51:Q59" si="103">IF(J51&lt;$K$4,1.65,IF(J51&lt;$K$5,1.4,3.72))</f>
        <v>1.65</v>
      </c>
      <c r="R51" s="35">
        <f t="shared" ref="R51:R59" si="104">IF(J51&lt;$K$1,8.6,7.45)</f>
        <v>8.6</v>
      </c>
      <c r="S51" s="33">
        <f>IF(C51&gt;0,T50+1,0)</f>
        <v>0</v>
      </c>
      <c r="T51" s="33">
        <f>IF(C51&gt;0,T50+1,T50)</f>
        <v>0</v>
      </c>
      <c r="U51" s="33" t="str">
        <f t="shared" ref="U51:U59" si="105">IF(S51&gt;0,A51,"")</f>
        <v/>
      </c>
      <c r="V51" s="33" t="str">
        <f t="shared" ref="V51:V59" si="106">IF(S51&gt;0,C51,"")</f>
        <v/>
      </c>
      <c r="W51" s="42" t="str">
        <f t="shared" ref="W51:W59" si="107">IF(S51&gt;0,F51,"")</f>
        <v/>
      </c>
      <c r="X51" s="1" t="str">
        <f t="shared" ref="X51:X52" si="108">IF(AND(C51&lt;&gt;0,T51&gt;3),"Es dürfen maximal 3 Positionen auf einem Rezept gedruckt werden!","")</f>
        <v/>
      </c>
    </row>
    <row r="52" spans="1:24" x14ac:dyDescent="0.25">
      <c r="A52" s="3">
        <v>17377602</v>
      </c>
      <c r="B52" s="3" t="s">
        <v>49</v>
      </c>
      <c r="C52" s="46"/>
      <c r="D52" s="32">
        <f t="shared" si="93"/>
        <v>0</v>
      </c>
      <c r="E52" s="32">
        <f t="shared" ref="E52:E59" si="109">E51+C52</f>
        <v>0</v>
      </c>
      <c r="F52" s="11" t="str">
        <f t="shared" si="94"/>
        <v/>
      </c>
      <c r="G52" s="33">
        <f t="shared" si="95"/>
        <v>0</v>
      </c>
      <c r="H52" s="33">
        <f t="shared" si="96"/>
        <v>0</v>
      </c>
      <c r="I52" s="33">
        <f t="shared" si="97"/>
        <v>0</v>
      </c>
      <c r="J52" s="34">
        <f t="shared" si="98"/>
        <v>0</v>
      </c>
      <c r="K52" s="48" t="str">
        <f t="shared" si="99"/>
        <v/>
      </c>
      <c r="L52" s="48" t="str">
        <f t="shared" si="100"/>
        <v/>
      </c>
      <c r="M52" s="48" t="str">
        <f t="shared" si="101"/>
        <v/>
      </c>
      <c r="N52" s="35" t="str">
        <f t="shared" si="102"/>
        <v/>
      </c>
      <c r="O52" s="35" t="str">
        <f t="shared" si="91"/>
        <v/>
      </c>
      <c r="P52" s="35" t="str">
        <f t="shared" si="92"/>
        <v/>
      </c>
      <c r="Q52" s="35">
        <f>IF(J52&lt;$K$4,1.65,IF(J52&lt;$K$5,2.8,3.72))</f>
        <v>1.65</v>
      </c>
      <c r="R52" s="35">
        <f t="shared" si="104"/>
        <v>8.6</v>
      </c>
      <c r="S52" s="33">
        <f t="shared" ref="S52:S59" si="110">IF(C52&gt;0,T51+1,0)</f>
        <v>0</v>
      </c>
      <c r="T52" s="33">
        <f>IF(C52&gt;0,T51+1,T51)</f>
        <v>0</v>
      </c>
      <c r="U52" s="33" t="str">
        <f t="shared" si="105"/>
        <v/>
      </c>
      <c r="V52" s="33" t="str">
        <f t="shared" si="106"/>
        <v/>
      </c>
      <c r="W52" s="42" t="str">
        <f t="shared" si="107"/>
        <v/>
      </c>
      <c r="X52" s="1" t="str">
        <f t="shared" si="108"/>
        <v/>
      </c>
    </row>
    <row r="53" spans="1:24" x14ac:dyDescent="0.25">
      <c r="A53" s="3">
        <v>17377648</v>
      </c>
      <c r="B53" s="3" t="s">
        <v>57</v>
      </c>
      <c r="C53" s="46"/>
      <c r="D53" s="32">
        <f t="shared" si="93"/>
        <v>0</v>
      </c>
      <c r="E53" s="32">
        <f t="shared" si="109"/>
        <v>0</v>
      </c>
      <c r="F53" s="11" t="str">
        <f t="shared" si="94"/>
        <v/>
      </c>
      <c r="G53" s="33">
        <f t="shared" si="95"/>
        <v>0</v>
      </c>
      <c r="H53" s="33">
        <f t="shared" si="96"/>
        <v>0</v>
      </c>
      <c r="I53" s="33">
        <f t="shared" si="97"/>
        <v>0</v>
      </c>
      <c r="J53" s="34">
        <f t="shared" si="98"/>
        <v>0</v>
      </c>
      <c r="K53" s="48" t="str">
        <f t="shared" si="99"/>
        <v/>
      </c>
      <c r="L53" s="48" t="str">
        <f t="shared" si="100"/>
        <v/>
      </c>
      <c r="M53" s="48" t="str">
        <f t="shared" si="101"/>
        <v/>
      </c>
      <c r="N53" s="35" t="str">
        <f t="shared" si="102"/>
        <v/>
      </c>
      <c r="O53" s="35" t="str">
        <f t="shared" si="91"/>
        <v/>
      </c>
      <c r="P53" s="35" t="str">
        <f t="shared" si="92"/>
        <v/>
      </c>
      <c r="Q53" s="35">
        <f t="shared" si="103"/>
        <v>1.65</v>
      </c>
      <c r="R53" s="35">
        <f t="shared" si="104"/>
        <v>8.6</v>
      </c>
      <c r="S53" s="33">
        <f t="shared" si="110"/>
        <v>0</v>
      </c>
      <c r="T53" s="33">
        <f t="shared" ref="T53:T59" si="111">IF(C53&gt;0,T52+1,T52)</f>
        <v>0</v>
      </c>
      <c r="U53" s="33" t="str">
        <f t="shared" si="105"/>
        <v/>
      </c>
      <c r="V53" s="33" t="str">
        <f t="shared" si="106"/>
        <v/>
      </c>
      <c r="W53" s="42" t="str">
        <f t="shared" si="107"/>
        <v/>
      </c>
      <c r="X53" s="1" t="str">
        <f>IF(AND(C53&lt;&gt;0,T53&gt;3),"Es dürfen maximal 3 Positionen auf einem Rezept gedruckt werden!","")</f>
        <v/>
      </c>
    </row>
    <row r="54" spans="1:24" x14ac:dyDescent="0.25">
      <c r="A54" s="3">
        <v>17895975</v>
      </c>
      <c r="B54" s="3" t="s">
        <v>53</v>
      </c>
      <c r="C54" s="46"/>
      <c r="D54" s="32">
        <f t="shared" si="93"/>
        <v>0</v>
      </c>
      <c r="E54" s="32">
        <f t="shared" si="109"/>
        <v>0</v>
      </c>
      <c r="F54" s="11" t="str">
        <f t="shared" si="94"/>
        <v/>
      </c>
      <c r="G54" s="33">
        <f t="shared" si="95"/>
        <v>0</v>
      </c>
      <c r="H54" s="33">
        <f t="shared" si="96"/>
        <v>0</v>
      </c>
      <c r="I54" s="33">
        <f t="shared" si="97"/>
        <v>0</v>
      </c>
      <c r="J54" s="34">
        <f t="shared" si="98"/>
        <v>0</v>
      </c>
      <c r="K54" s="48" t="str">
        <f t="shared" si="99"/>
        <v/>
      </c>
      <c r="L54" s="48" t="str">
        <f t="shared" si="100"/>
        <v/>
      </c>
      <c r="M54" s="48" t="str">
        <f t="shared" si="101"/>
        <v/>
      </c>
      <c r="N54" s="35" t="str">
        <f t="shared" si="102"/>
        <v/>
      </c>
      <c r="O54" s="35" t="str">
        <f t="shared" si="91"/>
        <v/>
      </c>
      <c r="P54" s="35" t="str">
        <f t="shared" si="92"/>
        <v/>
      </c>
      <c r="Q54" s="35">
        <f t="shared" si="103"/>
        <v>1.65</v>
      </c>
      <c r="R54" s="35">
        <f t="shared" si="104"/>
        <v>8.6</v>
      </c>
      <c r="S54" s="33">
        <f t="shared" si="110"/>
        <v>0</v>
      </c>
      <c r="T54" s="33">
        <f t="shared" si="111"/>
        <v>0</v>
      </c>
      <c r="U54" s="33" t="str">
        <f t="shared" si="105"/>
        <v/>
      </c>
      <c r="V54" s="33" t="str">
        <f t="shared" si="106"/>
        <v/>
      </c>
      <c r="W54" s="42" t="str">
        <f t="shared" si="107"/>
        <v/>
      </c>
      <c r="X54" s="1" t="str">
        <f t="shared" ref="X54:X59" si="112">IF(AND(C54&lt;&gt;0,T54&gt;3),"Es dürfen maximal 3 Positionen auf einem Rezept gedruckt werden!","")</f>
        <v/>
      </c>
    </row>
    <row r="55" spans="1:24" x14ac:dyDescent="0.25">
      <c r="A55" s="3">
        <v>17899252</v>
      </c>
      <c r="B55" s="3" t="s">
        <v>58</v>
      </c>
      <c r="C55" s="46"/>
      <c r="D55" s="32">
        <f t="shared" si="93"/>
        <v>0</v>
      </c>
      <c r="E55" s="32">
        <f t="shared" si="109"/>
        <v>0</v>
      </c>
      <c r="F55" s="11" t="str">
        <f t="shared" si="94"/>
        <v/>
      </c>
      <c r="G55" s="33">
        <f t="shared" si="95"/>
        <v>0</v>
      </c>
      <c r="H55" s="33">
        <f t="shared" si="96"/>
        <v>0</v>
      </c>
      <c r="I55" s="33">
        <f t="shared" si="97"/>
        <v>0</v>
      </c>
      <c r="J55" s="34">
        <f t="shared" si="98"/>
        <v>0</v>
      </c>
      <c r="K55" s="48" t="str">
        <f t="shared" si="99"/>
        <v/>
      </c>
      <c r="L55" s="48" t="str">
        <f t="shared" si="100"/>
        <v/>
      </c>
      <c r="M55" s="48" t="str">
        <f t="shared" si="101"/>
        <v/>
      </c>
      <c r="N55" s="35" t="str">
        <f t="shared" si="102"/>
        <v/>
      </c>
      <c r="O55" s="35" t="str">
        <f t="shared" si="91"/>
        <v/>
      </c>
      <c r="P55" s="35" t="str">
        <f t="shared" si="92"/>
        <v/>
      </c>
      <c r="Q55" s="35">
        <f t="shared" si="103"/>
        <v>1.65</v>
      </c>
      <c r="R55" s="35">
        <f t="shared" si="104"/>
        <v>8.6</v>
      </c>
      <c r="S55" s="33">
        <f t="shared" si="110"/>
        <v>0</v>
      </c>
      <c r="T55" s="33">
        <f t="shared" si="111"/>
        <v>0</v>
      </c>
      <c r="U55" s="33" t="str">
        <f t="shared" si="105"/>
        <v/>
      </c>
      <c r="V55" s="33" t="str">
        <f t="shared" si="106"/>
        <v/>
      </c>
      <c r="W55" s="42" t="str">
        <f t="shared" si="107"/>
        <v/>
      </c>
      <c r="X55" s="1" t="str">
        <f t="shared" si="112"/>
        <v/>
      </c>
    </row>
    <row r="56" spans="1:24" x14ac:dyDescent="0.25">
      <c r="A56" s="3">
        <v>18294315</v>
      </c>
      <c r="B56" s="3" t="s">
        <v>59</v>
      </c>
      <c r="C56" s="46"/>
      <c r="D56" s="32">
        <f t="shared" si="93"/>
        <v>0</v>
      </c>
      <c r="E56" s="32">
        <f t="shared" si="109"/>
        <v>0</v>
      </c>
      <c r="F56" s="11" t="str">
        <f t="shared" si="94"/>
        <v/>
      </c>
      <c r="G56" s="33">
        <f t="shared" si="95"/>
        <v>0</v>
      </c>
      <c r="H56" s="33">
        <f t="shared" si="96"/>
        <v>0</v>
      </c>
      <c r="I56" s="33">
        <f t="shared" si="97"/>
        <v>0</v>
      </c>
      <c r="J56" s="34">
        <f t="shared" si="98"/>
        <v>0</v>
      </c>
      <c r="K56" s="48" t="str">
        <f t="shared" si="99"/>
        <v/>
      </c>
      <c r="L56" s="48" t="str">
        <f t="shared" si="100"/>
        <v/>
      </c>
      <c r="M56" s="48" t="str">
        <f t="shared" si="101"/>
        <v/>
      </c>
      <c r="N56" s="35" t="str">
        <f t="shared" si="102"/>
        <v/>
      </c>
      <c r="O56" s="35" t="str">
        <f t="shared" si="91"/>
        <v/>
      </c>
      <c r="P56" s="35" t="str">
        <f t="shared" si="92"/>
        <v/>
      </c>
      <c r="Q56" s="35">
        <f t="shared" si="103"/>
        <v>1.65</v>
      </c>
      <c r="R56" s="35">
        <f t="shared" si="104"/>
        <v>8.6</v>
      </c>
      <c r="S56" s="33">
        <f t="shared" si="110"/>
        <v>0</v>
      </c>
      <c r="T56" s="33">
        <f t="shared" si="111"/>
        <v>0</v>
      </c>
      <c r="U56" s="33" t="str">
        <f t="shared" si="105"/>
        <v/>
      </c>
      <c r="V56" s="33" t="str">
        <f t="shared" si="106"/>
        <v/>
      </c>
      <c r="W56" s="42" t="str">
        <f t="shared" si="107"/>
        <v/>
      </c>
      <c r="X56" s="1" t="str">
        <f t="shared" si="112"/>
        <v/>
      </c>
    </row>
    <row r="57" spans="1:24" x14ac:dyDescent="0.25">
      <c r="A57" s="3">
        <v>18296171</v>
      </c>
      <c r="B57" s="3" t="s">
        <v>60</v>
      </c>
      <c r="C57" s="46"/>
      <c r="D57" s="32">
        <f t="shared" si="93"/>
        <v>0</v>
      </c>
      <c r="E57" s="32">
        <f t="shared" si="109"/>
        <v>0</v>
      </c>
      <c r="F57" s="11" t="str">
        <f t="shared" si="94"/>
        <v/>
      </c>
      <c r="G57" s="33">
        <f t="shared" si="95"/>
        <v>0</v>
      </c>
      <c r="H57" s="33">
        <f t="shared" si="96"/>
        <v>0</v>
      </c>
      <c r="I57" s="33">
        <f t="shared" si="97"/>
        <v>0</v>
      </c>
      <c r="J57" s="34">
        <f t="shared" si="98"/>
        <v>0</v>
      </c>
      <c r="K57" s="48" t="str">
        <f t="shared" si="99"/>
        <v/>
      </c>
      <c r="L57" s="48" t="str">
        <f t="shared" si="100"/>
        <v/>
      </c>
      <c r="M57" s="48" t="str">
        <f t="shared" si="101"/>
        <v/>
      </c>
      <c r="N57" s="35" t="str">
        <f t="shared" si="102"/>
        <v/>
      </c>
      <c r="O57" s="35" t="str">
        <f t="shared" si="91"/>
        <v/>
      </c>
      <c r="P57" s="35" t="str">
        <f t="shared" si="92"/>
        <v/>
      </c>
      <c r="Q57" s="35">
        <f t="shared" si="103"/>
        <v>1.65</v>
      </c>
      <c r="R57" s="35">
        <f t="shared" si="104"/>
        <v>8.6</v>
      </c>
      <c r="S57" s="33">
        <f t="shared" si="110"/>
        <v>0</v>
      </c>
      <c r="T57" s="33">
        <f t="shared" si="111"/>
        <v>0</v>
      </c>
      <c r="U57" s="33" t="str">
        <f t="shared" si="105"/>
        <v/>
      </c>
      <c r="V57" s="33" t="str">
        <f t="shared" si="106"/>
        <v/>
      </c>
      <c r="W57" s="42" t="str">
        <f t="shared" si="107"/>
        <v/>
      </c>
      <c r="X57" s="1" t="str">
        <f t="shared" si="112"/>
        <v/>
      </c>
    </row>
    <row r="58" spans="1:24" x14ac:dyDescent="0.25">
      <c r="A58" s="3">
        <v>18276228</v>
      </c>
      <c r="B58" s="3" t="s">
        <v>61</v>
      </c>
      <c r="C58" s="46"/>
      <c r="D58" s="32">
        <f t="shared" si="93"/>
        <v>0</v>
      </c>
      <c r="E58" s="32">
        <f t="shared" si="109"/>
        <v>0</v>
      </c>
      <c r="F58" s="11" t="str">
        <f t="shared" si="94"/>
        <v/>
      </c>
      <c r="G58" s="33">
        <f t="shared" si="95"/>
        <v>0</v>
      </c>
      <c r="H58" s="33">
        <f t="shared" si="96"/>
        <v>0</v>
      </c>
      <c r="I58" s="33">
        <f t="shared" si="97"/>
        <v>0</v>
      </c>
      <c r="J58" s="34">
        <f t="shared" si="98"/>
        <v>0</v>
      </c>
      <c r="K58" s="48" t="str">
        <f t="shared" si="99"/>
        <v/>
      </c>
      <c r="L58" s="48" t="str">
        <f t="shared" si="100"/>
        <v/>
      </c>
      <c r="M58" s="48" t="str">
        <f t="shared" si="101"/>
        <v/>
      </c>
      <c r="N58" s="35" t="str">
        <f t="shared" si="102"/>
        <v/>
      </c>
      <c r="O58" s="35" t="str">
        <f t="shared" si="91"/>
        <v/>
      </c>
      <c r="P58" s="35" t="str">
        <f t="shared" si="92"/>
        <v/>
      </c>
      <c r="Q58" s="35">
        <f>IF(J58&lt;$K$4,1.65,IF(J58&lt;$K$5,2.8,3.72))</f>
        <v>1.65</v>
      </c>
      <c r="R58" s="35">
        <f t="shared" si="104"/>
        <v>8.6</v>
      </c>
      <c r="S58" s="33">
        <f t="shared" si="110"/>
        <v>0</v>
      </c>
      <c r="T58" s="33">
        <f t="shared" si="111"/>
        <v>0</v>
      </c>
      <c r="U58" s="33" t="str">
        <f t="shared" si="105"/>
        <v/>
      </c>
      <c r="V58" s="33" t="str">
        <f t="shared" si="106"/>
        <v/>
      </c>
      <c r="W58" s="42" t="str">
        <f t="shared" si="107"/>
        <v/>
      </c>
      <c r="X58" s="1" t="str">
        <f t="shared" si="112"/>
        <v/>
      </c>
    </row>
    <row r="59" spans="1:24" x14ac:dyDescent="0.25">
      <c r="A59" s="3">
        <v>18260368</v>
      </c>
      <c r="B59" s="3" t="s">
        <v>62</v>
      </c>
      <c r="C59" s="46"/>
      <c r="D59" s="32">
        <f t="shared" si="93"/>
        <v>0</v>
      </c>
      <c r="E59" s="32">
        <f t="shared" si="109"/>
        <v>0</v>
      </c>
      <c r="F59" s="11" t="str">
        <f t="shared" si="94"/>
        <v/>
      </c>
      <c r="G59" s="33">
        <f t="shared" si="95"/>
        <v>0</v>
      </c>
      <c r="H59" s="33">
        <f t="shared" si="96"/>
        <v>0</v>
      </c>
      <c r="I59" s="33">
        <f t="shared" si="97"/>
        <v>0</v>
      </c>
      <c r="J59" s="34">
        <f t="shared" si="98"/>
        <v>0</v>
      </c>
      <c r="K59" s="48" t="str">
        <f t="shared" si="99"/>
        <v/>
      </c>
      <c r="L59" s="48" t="str">
        <f t="shared" si="100"/>
        <v/>
      </c>
      <c r="M59" s="48" t="str">
        <f t="shared" si="101"/>
        <v/>
      </c>
      <c r="N59" s="35" t="str">
        <f t="shared" si="102"/>
        <v/>
      </c>
      <c r="O59" s="35" t="str">
        <f t="shared" si="91"/>
        <v/>
      </c>
      <c r="P59" s="35" t="str">
        <f t="shared" si="92"/>
        <v/>
      </c>
      <c r="Q59" s="35">
        <f t="shared" si="103"/>
        <v>1.65</v>
      </c>
      <c r="R59" s="35">
        <f t="shared" si="104"/>
        <v>8.6</v>
      </c>
      <c r="S59" s="33">
        <f t="shared" si="110"/>
        <v>0</v>
      </c>
      <c r="T59" s="33">
        <f t="shared" si="111"/>
        <v>0</v>
      </c>
      <c r="U59" s="33" t="str">
        <f t="shared" si="105"/>
        <v/>
      </c>
      <c r="V59" s="33" t="str">
        <f t="shared" si="106"/>
        <v/>
      </c>
      <c r="W59" s="42" t="str">
        <f t="shared" si="107"/>
        <v/>
      </c>
      <c r="X59" s="1" t="str">
        <f t="shared" si="112"/>
        <v/>
      </c>
    </row>
    <row r="60" spans="1:24" x14ac:dyDescent="0.25">
      <c r="A60" s="3"/>
      <c r="B60" s="2" t="s">
        <v>5</v>
      </c>
      <c r="C60" s="8">
        <f>SUM(C50:C59)</f>
        <v>0</v>
      </c>
      <c r="D60" s="32"/>
      <c r="E60" s="32"/>
      <c r="F60" s="11">
        <f>SUM(F50:F59)</f>
        <v>0</v>
      </c>
      <c r="X60" s="1"/>
    </row>
    <row r="61" spans="1:24" x14ac:dyDescent="0.25">
      <c r="A61" s="1"/>
      <c r="B61" s="1"/>
      <c r="C61" s="7"/>
      <c r="F61" s="7"/>
      <c r="X61" s="1"/>
    </row>
    <row r="62" spans="1:24" ht="15.75" x14ac:dyDescent="0.25">
      <c r="A62" s="51" t="s">
        <v>25</v>
      </c>
      <c r="B62" s="51"/>
      <c r="C62" s="6" t="s">
        <v>15</v>
      </c>
      <c r="D62" s="29"/>
      <c r="E62" s="30"/>
      <c r="F62" s="47"/>
      <c r="X62" s="1" t="str">
        <f>IF(F62&lt;$K$3, "Eine Belieferung der Ärzte kann erst ab dem 31.05.2021 erfolgen", "")</f>
        <v>Eine Belieferung der Ärzte kann erst ab dem 31.05.2021 erfolgen</v>
      </c>
    </row>
    <row r="63" spans="1:24" s="10" customFormat="1" x14ac:dyDescent="0.25">
      <c r="A63" s="2" t="s">
        <v>0</v>
      </c>
      <c r="B63" s="2" t="s">
        <v>4</v>
      </c>
      <c r="C63" s="2" t="s">
        <v>1</v>
      </c>
      <c r="D63" s="31" t="s">
        <v>41</v>
      </c>
      <c r="E63" s="31" t="s">
        <v>42</v>
      </c>
      <c r="F63" s="2" t="s">
        <v>2</v>
      </c>
      <c r="G63" s="41"/>
      <c r="H63" s="41"/>
      <c r="I63" s="41"/>
      <c r="J63" s="41"/>
      <c r="K63" s="41"/>
      <c r="L63" s="41"/>
      <c r="M63" s="41"/>
      <c r="N63" s="43"/>
      <c r="O63" s="43"/>
      <c r="P63" s="43"/>
      <c r="Q63" s="43"/>
      <c r="R63" s="43"/>
      <c r="S63" s="41"/>
      <c r="T63" s="41"/>
      <c r="U63" s="41"/>
      <c r="V63" s="41"/>
      <c r="W63" s="41"/>
      <c r="X63" s="44"/>
    </row>
    <row r="64" spans="1:24" x14ac:dyDescent="0.25">
      <c r="A64" s="3">
        <v>17377625</v>
      </c>
      <c r="B64" s="3" t="s">
        <v>3</v>
      </c>
      <c r="C64" s="46"/>
      <c r="D64" s="32">
        <f>ROUND(C64,0)</f>
        <v>0</v>
      </c>
      <c r="E64" s="32">
        <f>E59+D64</f>
        <v>0</v>
      </c>
      <c r="F64" s="11" t="str">
        <f>IF(AND(C64&gt;0,X64="",J64&gt;=$K$3), N64+O64+P64, "")</f>
        <v/>
      </c>
      <c r="G64" s="33">
        <f>IF(E64&lt;100,C64,IF(E64-C64&gt;100,0,MIN(100-(E64-C64))))</f>
        <v>0</v>
      </c>
      <c r="H64" s="33">
        <f>IF(E64&lt;=100,0,IF(E64-C64&gt;150,0,MIN(150,E64)-MAX(100,E64-C64)))</f>
        <v>0</v>
      </c>
      <c r="I64" s="33">
        <f>IF(E64&lt;=150,0,E64-MAX(150,E64-C64))</f>
        <v>0</v>
      </c>
      <c r="J64" s="34">
        <f>F$62</f>
        <v>0</v>
      </c>
      <c r="K64" s="48" t="str">
        <f>IF($J64&lt;$K$3, "", IF($J64&lt;$K$2,6.58,7.58))</f>
        <v/>
      </c>
      <c r="L64" s="48" t="str">
        <f>IF($J64&lt;$K$3, "", IF($J64&lt;$K$2,4.28,4.92))</f>
        <v/>
      </c>
      <c r="M64" s="48" t="str">
        <f>IF($J64&lt;$K$3, "", IF($J64&lt;$K$2,2.19,2.52))</f>
        <v/>
      </c>
      <c r="N64" s="35" t="str">
        <f>IF($J64&lt;$K$3, "",G64*ROUND((K64+$Q64+$R64)*1.19,2))</f>
        <v/>
      </c>
      <c r="O64" s="35" t="str">
        <f t="shared" ref="O64:O73" si="113">IF($J64&lt;$K$3, "",H64*ROUND((L64+$Q64+$R64)*1.19,2))</f>
        <v/>
      </c>
      <c r="P64" s="35" t="str">
        <f t="shared" ref="P64:P73" si="114">IF($J64&lt;$K$3, "",I64*ROUND((M64+$Q64+$R64)*1.19,2))</f>
        <v/>
      </c>
      <c r="Q64" s="35">
        <f>IF(J64&lt;$K$4,1.65,IF(J64&lt;$K$5,1.4,3.72))</f>
        <v>1.65</v>
      </c>
      <c r="R64" s="35">
        <f>IF(J64&lt;$K$1,8.6,7.45)</f>
        <v>8.6</v>
      </c>
      <c r="S64" s="33">
        <f>IF(C64&gt;0,1,0)</f>
        <v>0</v>
      </c>
      <c r="T64" s="33">
        <f>S64</f>
        <v>0</v>
      </c>
      <c r="U64" s="33" t="str">
        <f>IF(S64&gt;0,A64,"")</f>
        <v/>
      </c>
      <c r="V64" s="33" t="str">
        <f>IF(S64&gt;0,C64,"")</f>
        <v/>
      </c>
      <c r="W64" s="42" t="str">
        <f>IF(S64&gt;0,F64,"")</f>
        <v/>
      </c>
      <c r="X64" s="1" t="str">
        <f>IF(AND(C64&lt;&gt;0,T64&gt;3),"Es dürfen maximal 3 Positionen auf einem Rezept gedruckt werden!","")</f>
        <v/>
      </c>
    </row>
    <row r="65" spans="1:24" x14ac:dyDescent="0.25">
      <c r="A65" s="3">
        <v>17377588</v>
      </c>
      <c r="B65" s="3" t="s">
        <v>56</v>
      </c>
      <c r="C65" s="46"/>
      <c r="D65" s="32">
        <f t="shared" ref="D65:D73" si="115">ROUND(C65,0)</f>
        <v>0</v>
      </c>
      <c r="E65" s="32">
        <f>E64+C65</f>
        <v>0</v>
      </c>
      <c r="F65" s="11" t="str">
        <f t="shared" ref="F65:F73" si="116">IF(AND(C65&gt;0,X65="",J65&gt;=$K$3), N65+O65+P65, "")</f>
        <v/>
      </c>
      <c r="G65" s="33">
        <f t="shared" ref="G65:G73" si="117">IF(E65&lt;100,C65,IF(E65-C65&gt;100,0,MIN(100-(E65-C65))))</f>
        <v>0</v>
      </c>
      <c r="H65" s="33">
        <f t="shared" ref="H65:H73" si="118">IF(E65&lt;=100,0,IF(E65-C65&gt;150,0,MIN(150,E65)-MAX(100,E65-C65)))</f>
        <v>0</v>
      </c>
      <c r="I65" s="33">
        <f t="shared" ref="I65:I73" si="119">IF(E65&lt;=150,0,E65-MAX(150,E65-C65))</f>
        <v>0</v>
      </c>
      <c r="J65" s="34">
        <f t="shared" ref="J65:J73" si="120">F$62</f>
        <v>0</v>
      </c>
      <c r="K65" s="48" t="str">
        <f t="shared" ref="K65:K73" si="121">IF($J65&lt;$K$3, "", IF($J65&lt;$K$2,6.58,7.58))</f>
        <v/>
      </c>
      <c r="L65" s="48" t="str">
        <f t="shared" ref="L65:L73" si="122">IF($J65&lt;$K$3, "", IF($J65&lt;$K$2,4.28,4.92))</f>
        <v/>
      </c>
      <c r="M65" s="48" t="str">
        <f t="shared" ref="M65:M73" si="123">IF($J65&lt;$K$3, "", IF($J65&lt;$K$2,2.19,2.52))</f>
        <v/>
      </c>
      <c r="N65" s="35" t="str">
        <f t="shared" ref="N65:N73" si="124">IF($J65&lt;$K$3, "",G65*ROUND((K65+$Q65+$R65)*1.19,2))</f>
        <v/>
      </c>
      <c r="O65" s="35" t="str">
        <f t="shared" si="113"/>
        <v/>
      </c>
      <c r="P65" s="35" t="str">
        <f t="shared" si="114"/>
        <v/>
      </c>
      <c r="Q65" s="35">
        <f t="shared" ref="Q65:Q73" si="125">IF(J65&lt;$K$4,1.65,IF(J65&lt;$K$5,1.4,3.72))</f>
        <v>1.65</v>
      </c>
      <c r="R65" s="35">
        <f t="shared" ref="R65:R73" si="126">IF(J65&lt;$K$1,8.6,7.45)</f>
        <v>8.6</v>
      </c>
      <c r="S65" s="33">
        <f>IF(C65&gt;0,T64+1,0)</f>
        <v>0</v>
      </c>
      <c r="T65" s="33">
        <f>IF(C65&gt;0,T64+1,T64)</f>
        <v>0</v>
      </c>
      <c r="U65" s="33" t="str">
        <f t="shared" ref="U65:U73" si="127">IF(S65&gt;0,A65,"")</f>
        <v/>
      </c>
      <c r="V65" s="33" t="str">
        <f t="shared" ref="V65:V73" si="128">IF(S65&gt;0,C65,"")</f>
        <v/>
      </c>
      <c r="W65" s="42" t="str">
        <f t="shared" ref="W65:W73" si="129">IF(S65&gt;0,F65,"")</f>
        <v/>
      </c>
      <c r="X65" s="1" t="str">
        <f t="shared" ref="X65:X66" si="130">IF(AND(C65&lt;&gt;0,T65&gt;3),"Es dürfen maximal 3 Positionen auf einem Rezept gedruckt werden!","")</f>
        <v/>
      </c>
    </row>
    <row r="66" spans="1:24" x14ac:dyDescent="0.25">
      <c r="A66" s="3">
        <v>17377602</v>
      </c>
      <c r="B66" s="3" t="s">
        <v>49</v>
      </c>
      <c r="C66" s="46"/>
      <c r="D66" s="32">
        <f t="shared" si="115"/>
        <v>0</v>
      </c>
      <c r="E66" s="32">
        <f t="shared" ref="E66:E73" si="131">E65+C66</f>
        <v>0</v>
      </c>
      <c r="F66" s="11" t="str">
        <f t="shared" si="116"/>
        <v/>
      </c>
      <c r="G66" s="33">
        <f t="shared" si="117"/>
        <v>0</v>
      </c>
      <c r="H66" s="33">
        <f t="shared" si="118"/>
        <v>0</v>
      </c>
      <c r="I66" s="33">
        <f t="shared" si="119"/>
        <v>0</v>
      </c>
      <c r="J66" s="34">
        <f t="shared" si="120"/>
        <v>0</v>
      </c>
      <c r="K66" s="48" t="str">
        <f t="shared" si="121"/>
        <v/>
      </c>
      <c r="L66" s="48" t="str">
        <f t="shared" si="122"/>
        <v/>
      </c>
      <c r="M66" s="48" t="str">
        <f t="shared" si="123"/>
        <v/>
      </c>
      <c r="N66" s="35" t="str">
        <f t="shared" si="124"/>
        <v/>
      </c>
      <c r="O66" s="35" t="str">
        <f t="shared" si="113"/>
        <v/>
      </c>
      <c r="P66" s="35" t="str">
        <f t="shared" si="114"/>
        <v/>
      </c>
      <c r="Q66" s="35">
        <f>IF(J66&lt;$K$4,1.65,IF(J66&lt;$K$5,2.8,3.72))</f>
        <v>1.65</v>
      </c>
      <c r="R66" s="35">
        <f t="shared" si="126"/>
        <v>8.6</v>
      </c>
      <c r="S66" s="33">
        <f t="shared" ref="S66:S73" si="132">IF(C66&gt;0,T65+1,0)</f>
        <v>0</v>
      </c>
      <c r="T66" s="33">
        <f>IF(C66&gt;0,T65+1,T65)</f>
        <v>0</v>
      </c>
      <c r="U66" s="33" t="str">
        <f t="shared" si="127"/>
        <v/>
      </c>
      <c r="V66" s="33" t="str">
        <f t="shared" si="128"/>
        <v/>
      </c>
      <c r="W66" s="42" t="str">
        <f t="shared" si="129"/>
        <v/>
      </c>
      <c r="X66" s="1" t="str">
        <f t="shared" si="130"/>
        <v/>
      </c>
    </row>
    <row r="67" spans="1:24" x14ac:dyDescent="0.25">
      <c r="A67" s="3">
        <v>17377648</v>
      </c>
      <c r="B67" s="3" t="s">
        <v>57</v>
      </c>
      <c r="C67" s="46"/>
      <c r="D67" s="32">
        <f t="shared" si="115"/>
        <v>0</v>
      </c>
      <c r="E67" s="32">
        <f t="shared" si="131"/>
        <v>0</v>
      </c>
      <c r="F67" s="11" t="str">
        <f t="shared" si="116"/>
        <v/>
      </c>
      <c r="G67" s="33">
        <f t="shared" si="117"/>
        <v>0</v>
      </c>
      <c r="H67" s="33">
        <f t="shared" si="118"/>
        <v>0</v>
      </c>
      <c r="I67" s="33">
        <f t="shared" si="119"/>
        <v>0</v>
      </c>
      <c r="J67" s="34">
        <f t="shared" si="120"/>
        <v>0</v>
      </c>
      <c r="K67" s="48" t="str">
        <f t="shared" si="121"/>
        <v/>
      </c>
      <c r="L67" s="48" t="str">
        <f t="shared" si="122"/>
        <v/>
      </c>
      <c r="M67" s="48" t="str">
        <f t="shared" si="123"/>
        <v/>
      </c>
      <c r="N67" s="35" t="str">
        <f t="shared" si="124"/>
        <v/>
      </c>
      <c r="O67" s="35" t="str">
        <f t="shared" si="113"/>
        <v/>
      </c>
      <c r="P67" s="35" t="str">
        <f t="shared" si="114"/>
        <v/>
      </c>
      <c r="Q67" s="35">
        <f t="shared" si="125"/>
        <v>1.65</v>
      </c>
      <c r="R67" s="35">
        <f t="shared" si="126"/>
        <v>8.6</v>
      </c>
      <c r="S67" s="33">
        <f t="shared" si="132"/>
        <v>0</v>
      </c>
      <c r="T67" s="33">
        <f t="shared" ref="T67:T73" si="133">IF(C67&gt;0,T66+1,T66)</f>
        <v>0</v>
      </c>
      <c r="U67" s="33" t="str">
        <f t="shared" si="127"/>
        <v/>
      </c>
      <c r="V67" s="33" t="str">
        <f t="shared" si="128"/>
        <v/>
      </c>
      <c r="W67" s="42" t="str">
        <f t="shared" si="129"/>
        <v/>
      </c>
      <c r="X67" s="1" t="str">
        <f>IF(AND(C67&lt;&gt;0,T67&gt;3),"Es dürfen maximal 3 Positionen auf einem Rezept gedruckt werden!","")</f>
        <v/>
      </c>
    </row>
    <row r="68" spans="1:24" x14ac:dyDescent="0.25">
      <c r="A68" s="3">
        <v>17895975</v>
      </c>
      <c r="B68" s="3" t="s">
        <v>53</v>
      </c>
      <c r="C68" s="46"/>
      <c r="D68" s="32">
        <f t="shared" si="115"/>
        <v>0</v>
      </c>
      <c r="E68" s="32">
        <f t="shared" si="131"/>
        <v>0</v>
      </c>
      <c r="F68" s="11" t="str">
        <f t="shared" si="116"/>
        <v/>
      </c>
      <c r="G68" s="33">
        <f t="shared" si="117"/>
        <v>0</v>
      </c>
      <c r="H68" s="33">
        <f t="shared" si="118"/>
        <v>0</v>
      </c>
      <c r="I68" s="33">
        <f t="shared" si="119"/>
        <v>0</v>
      </c>
      <c r="J68" s="34">
        <f t="shared" si="120"/>
        <v>0</v>
      </c>
      <c r="K68" s="48" t="str">
        <f t="shared" si="121"/>
        <v/>
      </c>
      <c r="L68" s="48" t="str">
        <f t="shared" si="122"/>
        <v/>
      </c>
      <c r="M68" s="48" t="str">
        <f t="shared" si="123"/>
        <v/>
      </c>
      <c r="N68" s="35" t="str">
        <f t="shared" si="124"/>
        <v/>
      </c>
      <c r="O68" s="35" t="str">
        <f t="shared" si="113"/>
        <v/>
      </c>
      <c r="P68" s="35" t="str">
        <f t="shared" si="114"/>
        <v/>
      </c>
      <c r="Q68" s="35">
        <f t="shared" si="125"/>
        <v>1.65</v>
      </c>
      <c r="R68" s="35">
        <f t="shared" si="126"/>
        <v>8.6</v>
      </c>
      <c r="S68" s="33">
        <f t="shared" si="132"/>
        <v>0</v>
      </c>
      <c r="T68" s="33">
        <f t="shared" si="133"/>
        <v>0</v>
      </c>
      <c r="U68" s="33" t="str">
        <f t="shared" si="127"/>
        <v/>
      </c>
      <c r="V68" s="33" t="str">
        <f t="shared" si="128"/>
        <v/>
      </c>
      <c r="W68" s="42" t="str">
        <f t="shared" si="129"/>
        <v/>
      </c>
      <c r="X68" s="1" t="str">
        <f t="shared" ref="X68:X73" si="134">IF(AND(C68&lt;&gt;0,T68&gt;3),"Es dürfen maximal 3 Positionen auf einem Rezept gedruckt werden!","")</f>
        <v/>
      </c>
    </row>
    <row r="69" spans="1:24" x14ac:dyDescent="0.25">
      <c r="A69" s="3">
        <v>17899252</v>
      </c>
      <c r="B69" s="3" t="s">
        <v>58</v>
      </c>
      <c r="C69" s="46"/>
      <c r="D69" s="32">
        <f t="shared" si="115"/>
        <v>0</v>
      </c>
      <c r="E69" s="32">
        <f t="shared" si="131"/>
        <v>0</v>
      </c>
      <c r="F69" s="11" t="str">
        <f t="shared" si="116"/>
        <v/>
      </c>
      <c r="G69" s="33">
        <f t="shared" si="117"/>
        <v>0</v>
      </c>
      <c r="H69" s="33">
        <f t="shared" si="118"/>
        <v>0</v>
      </c>
      <c r="I69" s="33">
        <f t="shared" si="119"/>
        <v>0</v>
      </c>
      <c r="J69" s="34">
        <f t="shared" si="120"/>
        <v>0</v>
      </c>
      <c r="K69" s="48" t="str">
        <f t="shared" si="121"/>
        <v/>
      </c>
      <c r="L69" s="48" t="str">
        <f t="shared" si="122"/>
        <v/>
      </c>
      <c r="M69" s="48" t="str">
        <f t="shared" si="123"/>
        <v/>
      </c>
      <c r="N69" s="35" t="str">
        <f t="shared" si="124"/>
        <v/>
      </c>
      <c r="O69" s="35" t="str">
        <f t="shared" si="113"/>
        <v/>
      </c>
      <c r="P69" s="35" t="str">
        <f t="shared" si="114"/>
        <v/>
      </c>
      <c r="Q69" s="35">
        <f t="shared" si="125"/>
        <v>1.65</v>
      </c>
      <c r="R69" s="35">
        <f t="shared" si="126"/>
        <v>8.6</v>
      </c>
      <c r="S69" s="33">
        <f t="shared" si="132"/>
        <v>0</v>
      </c>
      <c r="T69" s="33">
        <f t="shared" si="133"/>
        <v>0</v>
      </c>
      <c r="U69" s="33" t="str">
        <f t="shared" si="127"/>
        <v/>
      </c>
      <c r="V69" s="33" t="str">
        <f t="shared" si="128"/>
        <v/>
      </c>
      <c r="W69" s="42" t="str">
        <f t="shared" si="129"/>
        <v/>
      </c>
      <c r="X69" s="1" t="str">
        <f t="shared" si="134"/>
        <v/>
      </c>
    </row>
    <row r="70" spans="1:24" x14ac:dyDescent="0.25">
      <c r="A70" s="3">
        <v>18294315</v>
      </c>
      <c r="B70" s="3" t="s">
        <v>59</v>
      </c>
      <c r="C70" s="46"/>
      <c r="D70" s="32">
        <f t="shared" si="115"/>
        <v>0</v>
      </c>
      <c r="E70" s="32">
        <f t="shared" si="131"/>
        <v>0</v>
      </c>
      <c r="F70" s="11" t="str">
        <f t="shared" si="116"/>
        <v/>
      </c>
      <c r="G70" s="33">
        <f t="shared" si="117"/>
        <v>0</v>
      </c>
      <c r="H70" s="33">
        <f t="shared" si="118"/>
        <v>0</v>
      </c>
      <c r="I70" s="33">
        <f t="shared" si="119"/>
        <v>0</v>
      </c>
      <c r="J70" s="34">
        <f t="shared" si="120"/>
        <v>0</v>
      </c>
      <c r="K70" s="48" t="str">
        <f t="shared" si="121"/>
        <v/>
      </c>
      <c r="L70" s="48" t="str">
        <f t="shared" si="122"/>
        <v/>
      </c>
      <c r="M70" s="48" t="str">
        <f t="shared" si="123"/>
        <v/>
      </c>
      <c r="N70" s="35" t="str">
        <f t="shared" si="124"/>
        <v/>
      </c>
      <c r="O70" s="35" t="str">
        <f t="shared" si="113"/>
        <v/>
      </c>
      <c r="P70" s="35" t="str">
        <f t="shared" si="114"/>
        <v/>
      </c>
      <c r="Q70" s="35">
        <f t="shared" si="125"/>
        <v>1.65</v>
      </c>
      <c r="R70" s="35">
        <f t="shared" si="126"/>
        <v>8.6</v>
      </c>
      <c r="S70" s="33">
        <f t="shared" si="132"/>
        <v>0</v>
      </c>
      <c r="T70" s="33">
        <f t="shared" si="133"/>
        <v>0</v>
      </c>
      <c r="U70" s="33" t="str">
        <f t="shared" si="127"/>
        <v/>
      </c>
      <c r="V70" s="33" t="str">
        <f t="shared" si="128"/>
        <v/>
      </c>
      <c r="W70" s="42" t="str">
        <f t="shared" si="129"/>
        <v/>
      </c>
      <c r="X70" s="1" t="str">
        <f t="shared" si="134"/>
        <v/>
      </c>
    </row>
    <row r="71" spans="1:24" x14ac:dyDescent="0.25">
      <c r="A71" s="3">
        <v>18296171</v>
      </c>
      <c r="B71" s="3" t="s">
        <v>60</v>
      </c>
      <c r="C71" s="46"/>
      <c r="D71" s="32">
        <f t="shared" si="115"/>
        <v>0</v>
      </c>
      <c r="E71" s="32">
        <f t="shared" si="131"/>
        <v>0</v>
      </c>
      <c r="F71" s="11" t="str">
        <f t="shared" si="116"/>
        <v/>
      </c>
      <c r="G71" s="33">
        <f t="shared" si="117"/>
        <v>0</v>
      </c>
      <c r="H71" s="33">
        <f t="shared" si="118"/>
        <v>0</v>
      </c>
      <c r="I71" s="33">
        <f t="shared" si="119"/>
        <v>0</v>
      </c>
      <c r="J71" s="34">
        <f t="shared" si="120"/>
        <v>0</v>
      </c>
      <c r="K71" s="48" t="str">
        <f t="shared" si="121"/>
        <v/>
      </c>
      <c r="L71" s="48" t="str">
        <f t="shared" si="122"/>
        <v/>
      </c>
      <c r="M71" s="48" t="str">
        <f t="shared" si="123"/>
        <v/>
      </c>
      <c r="N71" s="35" t="str">
        <f t="shared" si="124"/>
        <v/>
      </c>
      <c r="O71" s="35" t="str">
        <f t="shared" si="113"/>
        <v/>
      </c>
      <c r="P71" s="35" t="str">
        <f t="shared" si="114"/>
        <v/>
      </c>
      <c r="Q71" s="35">
        <f t="shared" si="125"/>
        <v>1.65</v>
      </c>
      <c r="R71" s="35">
        <f t="shared" si="126"/>
        <v>8.6</v>
      </c>
      <c r="S71" s="33">
        <f t="shared" si="132"/>
        <v>0</v>
      </c>
      <c r="T71" s="33">
        <f t="shared" si="133"/>
        <v>0</v>
      </c>
      <c r="U71" s="33" t="str">
        <f t="shared" si="127"/>
        <v/>
      </c>
      <c r="V71" s="33" t="str">
        <f t="shared" si="128"/>
        <v/>
      </c>
      <c r="W71" s="42" t="str">
        <f t="shared" si="129"/>
        <v/>
      </c>
      <c r="X71" s="1" t="str">
        <f t="shared" si="134"/>
        <v/>
      </c>
    </row>
    <row r="72" spans="1:24" x14ac:dyDescent="0.25">
      <c r="A72" s="3">
        <v>18276228</v>
      </c>
      <c r="B72" s="3" t="s">
        <v>61</v>
      </c>
      <c r="C72" s="46"/>
      <c r="D72" s="32">
        <f t="shared" si="115"/>
        <v>0</v>
      </c>
      <c r="E72" s="32">
        <f t="shared" si="131"/>
        <v>0</v>
      </c>
      <c r="F72" s="11" t="str">
        <f t="shared" si="116"/>
        <v/>
      </c>
      <c r="G72" s="33">
        <f t="shared" si="117"/>
        <v>0</v>
      </c>
      <c r="H72" s="33">
        <f t="shared" si="118"/>
        <v>0</v>
      </c>
      <c r="I72" s="33">
        <f t="shared" si="119"/>
        <v>0</v>
      </c>
      <c r="J72" s="34">
        <f t="shared" si="120"/>
        <v>0</v>
      </c>
      <c r="K72" s="48" t="str">
        <f t="shared" si="121"/>
        <v/>
      </c>
      <c r="L72" s="48" t="str">
        <f t="shared" si="122"/>
        <v/>
      </c>
      <c r="M72" s="48" t="str">
        <f t="shared" si="123"/>
        <v/>
      </c>
      <c r="N72" s="35" t="str">
        <f t="shared" si="124"/>
        <v/>
      </c>
      <c r="O72" s="35" t="str">
        <f t="shared" si="113"/>
        <v/>
      </c>
      <c r="P72" s="35" t="str">
        <f t="shared" si="114"/>
        <v/>
      </c>
      <c r="Q72" s="35">
        <f>IF(J72&lt;$K$4,1.65,IF(J72&lt;$K$5,2.8,3.72))</f>
        <v>1.65</v>
      </c>
      <c r="R72" s="35">
        <f t="shared" si="126"/>
        <v>8.6</v>
      </c>
      <c r="S72" s="33">
        <f t="shared" si="132"/>
        <v>0</v>
      </c>
      <c r="T72" s="33">
        <f t="shared" si="133"/>
        <v>0</v>
      </c>
      <c r="U72" s="33" t="str">
        <f t="shared" si="127"/>
        <v/>
      </c>
      <c r="V72" s="33" t="str">
        <f t="shared" si="128"/>
        <v/>
      </c>
      <c r="W72" s="42" t="str">
        <f t="shared" si="129"/>
        <v/>
      </c>
      <c r="X72" s="1" t="str">
        <f t="shared" si="134"/>
        <v/>
      </c>
    </row>
    <row r="73" spans="1:24" x14ac:dyDescent="0.25">
      <c r="A73" s="3">
        <v>18260368</v>
      </c>
      <c r="B73" s="3" t="s">
        <v>62</v>
      </c>
      <c r="C73" s="46"/>
      <c r="D73" s="32">
        <f t="shared" si="115"/>
        <v>0</v>
      </c>
      <c r="E73" s="32">
        <f t="shared" si="131"/>
        <v>0</v>
      </c>
      <c r="F73" s="11" t="str">
        <f t="shared" si="116"/>
        <v/>
      </c>
      <c r="G73" s="33">
        <f t="shared" si="117"/>
        <v>0</v>
      </c>
      <c r="H73" s="33">
        <f t="shared" si="118"/>
        <v>0</v>
      </c>
      <c r="I73" s="33">
        <f t="shared" si="119"/>
        <v>0</v>
      </c>
      <c r="J73" s="34">
        <f t="shared" si="120"/>
        <v>0</v>
      </c>
      <c r="K73" s="48" t="str">
        <f t="shared" si="121"/>
        <v/>
      </c>
      <c r="L73" s="48" t="str">
        <f t="shared" si="122"/>
        <v/>
      </c>
      <c r="M73" s="48" t="str">
        <f t="shared" si="123"/>
        <v/>
      </c>
      <c r="N73" s="35" t="str">
        <f t="shared" si="124"/>
        <v/>
      </c>
      <c r="O73" s="35" t="str">
        <f t="shared" si="113"/>
        <v/>
      </c>
      <c r="P73" s="35" t="str">
        <f t="shared" si="114"/>
        <v/>
      </c>
      <c r="Q73" s="35">
        <f t="shared" si="125"/>
        <v>1.65</v>
      </c>
      <c r="R73" s="35">
        <f t="shared" si="126"/>
        <v>8.6</v>
      </c>
      <c r="S73" s="33">
        <f t="shared" si="132"/>
        <v>0</v>
      </c>
      <c r="T73" s="33">
        <f t="shared" si="133"/>
        <v>0</v>
      </c>
      <c r="U73" s="33" t="str">
        <f t="shared" si="127"/>
        <v/>
      </c>
      <c r="V73" s="33" t="str">
        <f t="shared" si="128"/>
        <v/>
      </c>
      <c r="W73" s="42" t="str">
        <f t="shared" si="129"/>
        <v/>
      </c>
      <c r="X73" s="1" t="str">
        <f t="shared" si="134"/>
        <v/>
      </c>
    </row>
    <row r="74" spans="1:24" x14ac:dyDescent="0.25">
      <c r="A74" s="3"/>
      <c r="B74" s="2" t="s">
        <v>5</v>
      </c>
      <c r="C74" s="8">
        <f>SUM(C64:C73)</f>
        <v>0</v>
      </c>
      <c r="D74" s="32"/>
      <c r="E74" s="32"/>
      <c r="F74" s="11">
        <f>SUM(F64:F73)</f>
        <v>0</v>
      </c>
      <c r="X74" s="1"/>
    </row>
    <row r="75" spans="1:24" x14ac:dyDescent="0.25">
      <c r="A75" s="1"/>
      <c r="B75" s="1"/>
      <c r="C75" s="7"/>
      <c r="F75" s="7"/>
      <c r="X75" s="1"/>
    </row>
    <row r="76" spans="1:24" x14ac:dyDescent="0.25">
      <c r="F76" s="20"/>
      <c r="G76" s="33">
        <f>SUM(G8:G75)</f>
        <v>0</v>
      </c>
      <c r="H76" s="33">
        <f t="shared" ref="H76:P76" si="135">SUM(H8:H75)</f>
        <v>0</v>
      </c>
      <c r="I76" s="33">
        <f t="shared" si="135"/>
        <v>0</v>
      </c>
      <c r="N76" s="35">
        <f t="shared" si="135"/>
        <v>0</v>
      </c>
      <c r="O76" s="35">
        <f t="shared" si="135"/>
        <v>0</v>
      </c>
      <c r="P76" s="35">
        <f t="shared" si="135"/>
        <v>0</v>
      </c>
    </row>
  </sheetData>
  <sheetProtection algorithmName="SHA-512" hashValue="yyG5/mvHc0W2mtF8aPH7iZBYZiIMWxLb8KEFM1Qw8ylJESUuoPCW4t+bO0DPnZXTxE+mIqDcBSShXK9tRYUJ4A==" saltValue="HGG3c+2ErrCDUZ8I1vxLnw==" spinCount="100000" sheet="1" selectLockedCells="1"/>
  <mergeCells count="16">
    <mergeCell ref="A62:B62"/>
    <mergeCell ref="G6:I6"/>
    <mergeCell ref="N6:P6"/>
    <mergeCell ref="K6:M6"/>
    <mergeCell ref="A6:B6"/>
    <mergeCell ref="A20:B20"/>
    <mergeCell ref="A34:B34"/>
    <mergeCell ref="Q6:R6"/>
    <mergeCell ref="A48:B48"/>
    <mergeCell ref="G1:I1"/>
    <mergeCell ref="G2:I2"/>
    <mergeCell ref="G3:I3"/>
    <mergeCell ref="C1:F1"/>
    <mergeCell ref="C2:F2"/>
    <mergeCell ref="G4:I4"/>
    <mergeCell ref="G5:I5"/>
  </mergeCells>
  <pageMargins left="0.7" right="0.7" top="0.78740157499999996" bottom="0.78740157499999996"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topLeftCell="E1" workbookViewId="0">
      <selection activeCell="E14" sqref="E14"/>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6">
        <f>SUM(I6:I9)/100</f>
        <v>0</v>
      </c>
      <c r="I3" s="56"/>
    </row>
    <row r="4" spans="1:9" ht="10.5" customHeight="1" x14ac:dyDescent="0.25">
      <c r="I4" s="14"/>
    </row>
    <row r="5" spans="1:9" hidden="1" x14ac:dyDescent="0.25">
      <c r="A5" s="25" t="s">
        <v>13</v>
      </c>
      <c r="B5" s="25" t="s">
        <v>0</v>
      </c>
      <c r="C5" s="25" t="s">
        <v>1</v>
      </c>
      <c r="D5" s="25" t="s">
        <v>14</v>
      </c>
      <c r="G5" s="12" t="s">
        <v>0</v>
      </c>
      <c r="H5" s="12" t="s">
        <v>1</v>
      </c>
      <c r="I5" s="12" t="s">
        <v>14</v>
      </c>
    </row>
    <row r="6" spans="1:9" s="5" customFormat="1" ht="22.5" customHeight="1" x14ac:dyDescent="0.25">
      <c r="A6" s="26">
        <v>1</v>
      </c>
      <c r="B6" s="27" t="e">
        <f>VLOOKUP('Beleg 1'!$A6,Datenerfassung!$S$8:$W$17,3,FALSE)</f>
        <v>#N/A</v>
      </c>
      <c r="C6" s="27" t="e">
        <f>VLOOKUP('Beleg 1'!$A6,Datenerfassung!$S$8:$W$17,4,FALSE)</f>
        <v>#N/A</v>
      </c>
      <c r="D6" s="27" t="e">
        <f>VLOOKUP('Beleg 1'!$A6,Datenerfassung!$S$8:$W$17,5,FALSE)</f>
        <v>#N/A</v>
      </c>
      <c r="E6" s="16"/>
      <c r="F6" s="16"/>
      <c r="G6" s="19" t="str">
        <f>IF(ISNA(B6),"",B6)</f>
        <v/>
      </c>
      <c r="H6" s="15" t="str">
        <f t="shared" ref="H6:H8" si="0">IF(ISNA(C6),"",C6)</f>
        <v/>
      </c>
      <c r="I6" s="17" t="str">
        <f>IF(ISNA(D6),"",D6*100)</f>
        <v/>
      </c>
    </row>
    <row r="7" spans="1:9" s="5" customFormat="1" ht="22.5" customHeight="1" x14ac:dyDescent="0.25">
      <c r="A7" s="26">
        <v>2</v>
      </c>
      <c r="B7" s="27" t="e">
        <f>VLOOKUP('Beleg 1'!$A7,Datenerfassung!$S$8:$W$17,3,FALSE)</f>
        <v>#N/A</v>
      </c>
      <c r="C7" s="27" t="e">
        <f>VLOOKUP('Beleg 1'!$A7,Datenerfassung!$S$8:$W$17,4,FALSE)</f>
        <v>#N/A</v>
      </c>
      <c r="D7" s="27" t="e">
        <f>VLOOKUP('Beleg 1'!$A7,Datenerfassung!$S$8:$W$17,5,FALSE)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1'!$A8,Datenerfassung!$S$8:$W$17,3,FALSE)</f>
        <v>#N/A</v>
      </c>
      <c r="C8" s="27" t="e">
        <f>VLOOKUP('Beleg 1'!$A8,Datenerfassung!$S$8:$W$17,4,FALSE)</f>
        <v>#N/A</v>
      </c>
      <c r="D8" s="27" t="e">
        <f>VLOOKUP('Beleg 1'!$A8,Datenerfassung!$S$8:$W$17,5,FALSE)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Datenerfassung!F6</f>
        <v>0</v>
      </c>
      <c r="F11" s="12">
        <f>Datenerfassung!B2</f>
        <v>0</v>
      </c>
    </row>
  </sheetData>
  <sheetProtection algorithmName="SHA-512" hashValue="5GQCnbMS3ah47nUNEnLcX8uFHb8CDuU9imRsQZec39ZRpAFS1JooABjGHNLv0Ur+WZdJVbdJK3yAtoHumI0aOQ==" saltValue="p3KzQVPL12lzDPWSh32YEA=="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topLeftCell="E1" workbookViewId="0">
      <selection activeCell="E14" sqref="E14"/>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6">
        <f>SUM(I6:I9)/100</f>
        <v>0</v>
      </c>
      <c r="I3" s="56"/>
    </row>
    <row r="4" spans="1:9" ht="10.5" customHeight="1" x14ac:dyDescent="0.25">
      <c r="I4" s="14"/>
    </row>
    <row r="5" spans="1:9" hidden="1" x14ac:dyDescent="0.25">
      <c r="A5" s="25" t="s">
        <v>13</v>
      </c>
      <c r="B5" s="25" t="s">
        <v>0</v>
      </c>
      <c r="C5" s="25" t="s">
        <v>1</v>
      </c>
      <c r="D5" s="25" t="s">
        <v>14</v>
      </c>
      <c r="G5" s="12" t="s">
        <v>0</v>
      </c>
      <c r="H5" s="12" t="s">
        <v>1</v>
      </c>
      <c r="I5" s="12" t="s">
        <v>14</v>
      </c>
    </row>
    <row r="6" spans="1:9" s="5" customFormat="1" ht="22.5" customHeight="1" x14ac:dyDescent="0.25">
      <c r="A6" s="26">
        <v>1</v>
      </c>
      <c r="B6" s="27" t="e">
        <f>VLOOKUP('Beleg 2'!$A6,Datenerfassung!$S$22:$W$31,3,FALSE)</f>
        <v>#N/A</v>
      </c>
      <c r="C6" s="27" t="e">
        <f>VLOOKUP('Beleg 2'!$A6,Datenerfassung!$S$22:$W$31,4,FALSE)</f>
        <v>#N/A</v>
      </c>
      <c r="D6" s="27" t="e">
        <f>VLOOKUP('Beleg 2'!$A6,Datenerfassung!$S$22:$W$31,5,FALSE)</f>
        <v>#N/A</v>
      </c>
      <c r="E6" s="16"/>
      <c r="F6" s="16"/>
      <c r="G6" s="19" t="str">
        <f>IF(ISNA(B6),"",B6)</f>
        <v/>
      </c>
      <c r="H6" s="15" t="str">
        <f t="shared" ref="H6:H8" si="0">IF(ISNA(C6),"",C6)</f>
        <v/>
      </c>
      <c r="I6" s="17" t="str">
        <f>IF(ISNA(D6),"",D6*100)</f>
        <v/>
      </c>
    </row>
    <row r="7" spans="1:9" s="5" customFormat="1" ht="22.5" customHeight="1" x14ac:dyDescent="0.25">
      <c r="A7" s="26">
        <v>2</v>
      </c>
      <c r="B7" s="27" t="e">
        <f>VLOOKUP('Beleg 2'!$A7,Datenerfassung!$S$22:$W$31,3,FALSE)</f>
        <v>#N/A</v>
      </c>
      <c r="C7" s="27" t="e">
        <f>VLOOKUP('Beleg 2'!$A7,Datenerfassung!$S$22:$W$31,4,FALSE)</f>
        <v>#N/A</v>
      </c>
      <c r="D7" s="27" t="e">
        <f>VLOOKUP('Beleg 2'!$A7,Datenerfassung!$S$22:$W$31,5,FALSE)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2'!$A8,Datenerfassung!$S$22:$W$31,3,FALSE)</f>
        <v>#N/A</v>
      </c>
      <c r="C8" s="27" t="e">
        <f>VLOOKUP('Beleg 2'!$A8,Datenerfassung!$S$22:$W$31,4,FALSE)</f>
        <v>#N/A</v>
      </c>
      <c r="D8" s="27" t="e">
        <f>VLOOKUP('Beleg 2'!$A8,Datenerfassung!$S$22:$W$31,5,FALSE)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Datenerfassung!F20</f>
        <v>0</v>
      </c>
      <c r="F11" s="12">
        <f>Datenerfassung!B2</f>
        <v>0</v>
      </c>
    </row>
  </sheetData>
  <sheetProtection algorithmName="SHA-512" hashValue="yBLo4TU5QO66R55UcLFB4WxbK+ZiKhVH3e4qgP3HooPxAgLvuMO9O3ApQVTgrZs3i6xVFLRYFVCr+Wat8ArSPQ==" saltValue="KU31ijMCn2oTwZ3SLXZIm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topLeftCell="E1" workbookViewId="0">
      <selection activeCell="E14" sqref="E14"/>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6">
        <f>SUM(I6:I9)/100</f>
        <v>0</v>
      </c>
      <c r="I3" s="56"/>
    </row>
    <row r="4" spans="1:9" ht="10.5" customHeight="1" x14ac:dyDescent="0.25">
      <c r="I4" s="14"/>
    </row>
    <row r="5" spans="1:9" hidden="1" x14ac:dyDescent="0.25">
      <c r="A5" s="25" t="s">
        <v>13</v>
      </c>
      <c r="B5" s="25" t="s">
        <v>0</v>
      </c>
      <c r="C5" s="25" t="s">
        <v>1</v>
      </c>
      <c r="D5" s="25" t="s">
        <v>14</v>
      </c>
      <c r="G5" s="12" t="s">
        <v>0</v>
      </c>
      <c r="H5" s="12" t="s">
        <v>1</v>
      </c>
      <c r="I5" s="12" t="s">
        <v>14</v>
      </c>
    </row>
    <row r="6" spans="1:9" s="5" customFormat="1" ht="22.5" customHeight="1" x14ac:dyDescent="0.25">
      <c r="A6" s="26">
        <v>1</v>
      </c>
      <c r="B6" s="27" t="e">
        <f>VLOOKUP('Beleg 3'!$A6,Datenerfassung!$S$36:$W$45,3,FALSE)</f>
        <v>#N/A</v>
      </c>
      <c r="C6" s="27" t="e">
        <f>VLOOKUP('Beleg 3'!$A6,Datenerfassung!$S$36:$W$45,4,FALSE)</f>
        <v>#N/A</v>
      </c>
      <c r="D6" s="27" t="e">
        <f>VLOOKUP('Beleg 3'!$A6,Datenerfassung!$S$36:$W$45,5,FALSE)</f>
        <v>#N/A</v>
      </c>
      <c r="E6" s="16"/>
      <c r="F6" s="16"/>
      <c r="G6" s="19" t="str">
        <f>IF(ISNA(B6),"",B6)</f>
        <v/>
      </c>
      <c r="H6" s="15" t="str">
        <f t="shared" ref="H6:H8" si="0">IF(ISNA(C6),"",C6)</f>
        <v/>
      </c>
      <c r="I6" s="17" t="str">
        <f>IF(ISNA(D6),"",D6*100)</f>
        <v/>
      </c>
    </row>
    <row r="7" spans="1:9" s="5" customFormat="1" ht="22.5" customHeight="1" x14ac:dyDescent="0.25">
      <c r="A7" s="26">
        <v>2</v>
      </c>
      <c r="B7" s="27" t="e">
        <f>VLOOKUP('Beleg 3'!$A7,Datenerfassung!$S$36:$W$45,3,FALSE)</f>
        <v>#N/A</v>
      </c>
      <c r="C7" s="27" t="e">
        <f>VLOOKUP('Beleg 3'!$A7,Datenerfassung!$S$36:$W$45,4,FALSE)</f>
        <v>#N/A</v>
      </c>
      <c r="D7" s="27" t="e">
        <f>VLOOKUP('Beleg 3'!$A7,Datenerfassung!$S$36:$W$45,5,FALSE)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3'!$A8,Datenerfassung!$S$36:$W$45,3,FALSE)</f>
        <v>#N/A</v>
      </c>
      <c r="C8" s="27" t="e">
        <f>VLOOKUP('Beleg 3'!$A8,Datenerfassung!$S$36:$W$45,4,FALSE)</f>
        <v>#N/A</v>
      </c>
      <c r="D8" s="27" t="e">
        <f>VLOOKUP('Beleg 3'!$A8,Datenerfassung!$S$36:$W$45,5,FALSE)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Datenerfassung!F34</f>
        <v>0</v>
      </c>
      <c r="F11" s="12">
        <f>Datenerfassung!B2</f>
        <v>0</v>
      </c>
    </row>
  </sheetData>
  <sheetProtection algorithmName="SHA-512" hashValue="JQI74pJe7Ax3+GE2tLu66akpg4yaucidP8Kxb8U2aXA0GnGSksPEvjESeQnN7R0O88HntpnWXDfwkIi1Zsq8pw==" saltValue="jRnvCbyfV8OK2/n7MAMVwQ=="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
  <sheetViews>
    <sheetView topLeftCell="E1" workbookViewId="0">
      <selection activeCell="E15" sqref="E15"/>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6">
        <f>SUM(I6:I9)/100</f>
        <v>0</v>
      </c>
      <c r="I3" s="56"/>
    </row>
    <row r="4" spans="1:9" ht="10.5" customHeight="1" x14ac:dyDescent="0.25">
      <c r="I4" s="14"/>
    </row>
    <row r="5" spans="1:9" hidden="1" x14ac:dyDescent="0.25">
      <c r="A5" s="25" t="s">
        <v>13</v>
      </c>
      <c r="B5" s="25" t="s">
        <v>0</v>
      </c>
      <c r="C5" s="25" t="s">
        <v>1</v>
      </c>
      <c r="D5" s="25" t="s">
        <v>14</v>
      </c>
      <c r="G5" s="12" t="s">
        <v>0</v>
      </c>
      <c r="H5" s="12" t="s">
        <v>1</v>
      </c>
      <c r="I5" s="12" t="s">
        <v>14</v>
      </c>
    </row>
    <row r="6" spans="1:9" s="5" customFormat="1" ht="22.5" customHeight="1" x14ac:dyDescent="0.25">
      <c r="A6" s="26">
        <v>1</v>
      </c>
      <c r="B6" s="27" t="e">
        <f>VLOOKUP('Beleg 4'!$A6,Datenerfassung!$S$50:$W$59,3,FALSE)</f>
        <v>#N/A</v>
      </c>
      <c r="C6" s="27" t="e">
        <f>VLOOKUP('Beleg 4'!$A6,Datenerfassung!$S$50:$W$59,4,FALSE)</f>
        <v>#N/A</v>
      </c>
      <c r="D6" s="27" t="e">
        <f>VLOOKUP('Beleg 4'!$A6,Datenerfassung!$S$50:$W$59,5,FALSE)</f>
        <v>#N/A</v>
      </c>
      <c r="E6" s="16"/>
      <c r="F6" s="16"/>
      <c r="G6" s="19" t="str">
        <f>IF(ISNA(B6),"",B6)</f>
        <v/>
      </c>
      <c r="H6" s="15" t="str">
        <f t="shared" ref="H6:H8" si="0">IF(ISNA(C6),"",C6)</f>
        <v/>
      </c>
      <c r="I6" s="17" t="str">
        <f>IF(ISNA(D6),"",D6*100)</f>
        <v/>
      </c>
    </row>
    <row r="7" spans="1:9" s="5" customFormat="1" ht="22.5" customHeight="1" x14ac:dyDescent="0.25">
      <c r="A7" s="26">
        <v>2</v>
      </c>
      <c r="B7" s="27" t="e">
        <f>VLOOKUP('Beleg 4'!$A7,Datenerfassung!$S$50:$W$59,3,FALSE)</f>
        <v>#N/A</v>
      </c>
      <c r="C7" s="27" t="e">
        <f>VLOOKUP('Beleg 4'!$A7,Datenerfassung!$S$50:$W$59,4,FALSE)</f>
        <v>#N/A</v>
      </c>
      <c r="D7" s="27" t="e">
        <f>VLOOKUP('Beleg 4'!$A7,Datenerfassung!$S$50:$W$59,5,FALSE)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4'!$A8,Datenerfassung!$S$50:$W$59,3,FALSE)</f>
        <v>#N/A</v>
      </c>
      <c r="C8" s="27" t="e">
        <f>VLOOKUP('Beleg 4'!$A8,Datenerfassung!$S$50:$W$59,4,FALSE)</f>
        <v>#N/A</v>
      </c>
      <c r="D8" s="27" t="e">
        <f>VLOOKUP('Beleg 4'!$A8,Datenerfassung!$S$50:$W$59,5,FALSE)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Datenerfassung!F48</f>
        <v>0</v>
      </c>
      <c r="F11" s="12">
        <f>Datenerfassung!B2</f>
        <v>0</v>
      </c>
    </row>
  </sheetData>
  <sheetProtection algorithmName="SHA-512" hashValue="W3ik7+qHx5EjCTxrRWmQXQXuvtR6oiMH4Yr4l8zOZThSr53IG/7DJZmf2yd9ow7MVL1aGKiHeyxBEH3gjAVnlQ==" saltValue="0QhoOnawJFY+n8v2poWdQA=="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topLeftCell="E1" workbookViewId="0">
      <selection activeCell="E14" sqref="E14"/>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8.4257812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6">
        <f>SUM(I6:I9)/100</f>
        <v>0</v>
      </c>
      <c r="I3" s="56"/>
    </row>
    <row r="4" spans="1:9" ht="10.5" customHeight="1" x14ac:dyDescent="0.25">
      <c r="I4" s="14"/>
    </row>
    <row r="5" spans="1:9" hidden="1" x14ac:dyDescent="0.25">
      <c r="A5" s="25" t="s">
        <v>13</v>
      </c>
      <c r="B5" s="25" t="s">
        <v>0</v>
      </c>
      <c r="C5" s="25" t="s">
        <v>1</v>
      </c>
      <c r="D5" s="25" t="s">
        <v>14</v>
      </c>
      <c r="G5" s="12" t="s">
        <v>0</v>
      </c>
      <c r="H5" s="12" t="s">
        <v>1</v>
      </c>
      <c r="I5" s="12" t="s">
        <v>14</v>
      </c>
    </row>
    <row r="6" spans="1:9" s="5" customFormat="1" ht="22.5" customHeight="1" x14ac:dyDescent="0.25">
      <c r="A6" s="26">
        <v>1</v>
      </c>
      <c r="B6" s="27" t="e">
        <f>VLOOKUP('Beleg 5'!$A6,Datenerfassung!$S$64:$W$73,3,FALSE)</f>
        <v>#N/A</v>
      </c>
      <c r="C6" s="27" t="e">
        <f>VLOOKUP('Beleg 5'!$A6,Datenerfassung!$S$64:$W$73,4,FALSE)</f>
        <v>#N/A</v>
      </c>
      <c r="D6" s="27" t="e">
        <f>VLOOKUP('Beleg 5'!$A6,Datenerfassung!$S$64:$W$73,5,FALSE)</f>
        <v>#N/A</v>
      </c>
      <c r="E6" s="16"/>
      <c r="F6" s="16"/>
      <c r="G6" s="19" t="str">
        <f>IF(ISNA(B6),"",B6)</f>
        <v/>
      </c>
      <c r="H6" s="15" t="str">
        <f t="shared" ref="H6:H8" si="0">IF(ISNA(C6),"",C6)</f>
        <v/>
      </c>
      <c r="I6" s="17" t="str">
        <f>IF(ISNA(D6),"",D6*100)</f>
        <v/>
      </c>
    </row>
    <row r="7" spans="1:9" s="5" customFormat="1" ht="22.5" customHeight="1" x14ac:dyDescent="0.25">
      <c r="A7" s="26">
        <v>2</v>
      </c>
      <c r="B7" s="27" t="e">
        <f>VLOOKUP('Beleg 5'!$A7,Datenerfassung!$S$64:$W$73,3,FALSE)</f>
        <v>#N/A</v>
      </c>
      <c r="C7" s="27" t="e">
        <f>VLOOKUP('Beleg 5'!$A7,Datenerfassung!$S$64:$W$73,4,FALSE)</f>
        <v>#N/A</v>
      </c>
      <c r="D7" s="27" t="e">
        <f>VLOOKUP('Beleg 5'!$A7,Datenerfassung!$S$64:$W$73,5,FALSE)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5'!$A8,Datenerfassung!$S$64:$W$73,3,FALSE)</f>
        <v>#N/A</v>
      </c>
      <c r="C8" s="27" t="e">
        <f>VLOOKUP('Beleg 5'!$A8,Datenerfassung!$S$64:$W$73,4,FALSE)</f>
        <v>#N/A</v>
      </c>
      <c r="D8" s="27" t="e">
        <f>VLOOKUP('Beleg 5'!$A8,Datenerfassung!$S$64:$W$73,5,FALSE)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Datenerfassung!F62</f>
        <v>0</v>
      </c>
      <c r="F11" s="12">
        <f>Datenerfassung!B2</f>
        <v>0</v>
      </c>
    </row>
  </sheetData>
  <sheetProtection algorithmName="SHA-512" hashValue="kOuodvzp/MC0bcEpjFnGMDZFzxX7vPudEEtH4kqRMmiKX6T0EDTkti7mHzdhxqorED4y0Kgwy/cYUqcD1W6rRw==" saltValue="XbLEIpGXWhNNw7XIJh02nw=="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ANLEITUNG</vt:lpstr>
      <vt:lpstr>Datenerfassung</vt:lpstr>
      <vt:lpstr>Beleg 1</vt:lpstr>
      <vt:lpstr>Beleg 2</vt:lpstr>
      <vt:lpstr>Beleg 3</vt:lpstr>
      <vt:lpstr>Beleg 4</vt:lpstr>
      <vt:lpstr>Beleg 5</vt:lpstr>
      <vt:lpstr>'Beleg 1'!Druckbereich</vt:lpstr>
      <vt:lpstr>'Beleg 2'!Druckbereich</vt:lpstr>
      <vt:lpstr>'Beleg 3'!Druckbereich</vt:lpstr>
      <vt:lpstr>'Beleg 4'!Druckbereich</vt:lpstr>
      <vt:lpstr>'Beleg 5'!Druckbereich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Kallbach, Kai</dc:creator>
  <cp:lastModifiedBy>Sabine Mühlen</cp:lastModifiedBy>
  <cp:lastPrinted>2022-09-13T09:11:26Z</cp:lastPrinted>
  <dcterms:created xsi:type="dcterms:W3CDTF">2021-05-27T15:53:30Z</dcterms:created>
  <dcterms:modified xsi:type="dcterms:W3CDTF">2022-09-23T13:36:57Z</dcterms:modified>
</cp:coreProperties>
</file>