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120" yWindow="-120" windowWidth="23256" windowHeight="13176" tabRatio="528"/>
  </bookViews>
  <sheets>
    <sheet name="ANLEITUNG" sheetId="4" r:id="rId1"/>
    <sheet name="Datenerfassung" sheetId="1" r:id="rId2"/>
    <sheet name="Beleg 1" sheetId="3" r:id="rId3"/>
    <sheet name="Beleg 2" sheetId="5" r:id="rId4"/>
    <sheet name="Beleg 3" sheetId="9" r:id="rId5"/>
    <sheet name="Beleg 4" sheetId="10" r:id="rId6"/>
    <sheet name="Beleg 5" sheetId="11" r:id="rId7"/>
  </sheets>
  <definedNames>
    <definedName name="_xlnm.Print_Area" localSheetId="2">'Beleg 1'!$E$1:$I$11</definedName>
    <definedName name="_xlnm.Print_Area" localSheetId="3">'Beleg 2'!$E$1:$I$11</definedName>
    <definedName name="_xlnm.Print_Area" localSheetId="4">'Beleg 3'!$E$1:$I$11</definedName>
    <definedName name="_xlnm.Print_Area" localSheetId="5">'Beleg 4'!$E$1:$I$11</definedName>
    <definedName name="_xlnm.Print_Area" localSheetId="6">'Beleg 5'!$E$1:$I$11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48" i="1" l="1"/>
  <c r="D47" i="1"/>
  <c r="D46" i="1"/>
  <c r="D45" i="1"/>
  <c r="D44" i="1"/>
  <c r="D39" i="1"/>
  <c r="D38" i="1"/>
  <c r="D37" i="1"/>
  <c r="D36" i="1"/>
  <c r="D35" i="1"/>
  <c r="D30" i="1"/>
  <c r="D29" i="1"/>
  <c r="D28" i="1"/>
  <c r="D27" i="1"/>
  <c r="D26" i="1"/>
  <c r="D21" i="1"/>
  <c r="D20" i="1"/>
  <c r="D19" i="1"/>
  <c r="D18" i="1"/>
  <c r="D17" i="1"/>
  <c r="D9" i="1"/>
  <c r="D10" i="1"/>
  <c r="D11" i="1"/>
  <c r="D12" i="1"/>
  <c r="S48" i="1"/>
  <c r="S47" i="1"/>
  <c r="S46" i="1"/>
  <c r="S39" i="1"/>
  <c r="S38" i="1"/>
  <c r="S37" i="1"/>
  <c r="S30" i="1"/>
  <c r="S29" i="1"/>
  <c r="S28" i="1"/>
  <c r="S21" i="1"/>
  <c r="S20" i="1"/>
  <c r="S19" i="1"/>
  <c r="S12" i="1"/>
  <c r="S11" i="1"/>
  <c r="C49" i="1"/>
  <c r="D8" i="1"/>
  <c r="J11" i="1"/>
  <c r="K11" i="1" s="1"/>
  <c r="R11" i="1"/>
  <c r="I1" i="11"/>
  <c r="I1" i="10"/>
  <c r="I1" i="9"/>
  <c r="I1" i="5"/>
  <c r="I1" i="3"/>
  <c r="C13" i="1"/>
  <c r="C22" i="1"/>
  <c r="C31" i="1"/>
  <c r="C40" i="1"/>
  <c r="R48" i="1"/>
  <c r="R39" i="1"/>
  <c r="R30" i="1"/>
  <c r="R21" i="1"/>
  <c r="X6" i="1"/>
  <c r="J21" i="1" l="1"/>
  <c r="Q21" i="1" s="1"/>
  <c r="Q11" i="1"/>
  <c r="J28" i="1"/>
  <c r="Q28" i="1" s="1"/>
  <c r="X15" i="1"/>
  <c r="M11" i="1"/>
  <c r="L11" i="1"/>
  <c r="J20" i="1"/>
  <c r="Q20" i="1" s="1"/>
  <c r="J19" i="1"/>
  <c r="Q19" i="1" s="1"/>
  <c r="J18" i="1"/>
  <c r="Q18" i="1" s="1"/>
  <c r="J17" i="1"/>
  <c r="Q17" i="1" s="1"/>
  <c r="J12" i="1"/>
  <c r="Q12" i="1" s="1"/>
  <c r="J10" i="1"/>
  <c r="Q10" i="1" s="1"/>
  <c r="J9" i="1"/>
  <c r="Q9" i="1" s="1"/>
  <c r="J8" i="1"/>
  <c r="Q8" i="1" s="1"/>
  <c r="M21" i="1" l="1"/>
  <c r="L21" i="1"/>
  <c r="K21" i="1"/>
  <c r="J29" i="1"/>
  <c r="Q29" i="1" s="1"/>
  <c r="J26" i="1"/>
  <c r="Q26" i="1" s="1"/>
  <c r="J27" i="1"/>
  <c r="Q27" i="1" s="1"/>
  <c r="J30" i="1"/>
  <c r="Q30" i="1" s="1"/>
  <c r="X24" i="1"/>
  <c r="M8" i="1"/>
  <c r="L9" i="1"/>
  <c r="M10" i="1"/>
  <c r="M12" i="1"/>
  <c r="M28" i="1"/>
  <c r="K29" i="1"/>
  <c r="M18" i="1"/>
  <c r="M17" i="1"/>
  <c r="K19" i="1"/>
  <c r="L20" i="1"/>
  <c r="K28" i="1"/>
  <c r="K18" i="1"/>
  <c r="L19" i="1"/>
  <c r="L28" i="1"/>
  <c r="M29" i="1"/>
  <c r="L10" i="1"/>
  <c r="L8" i="1"/>
  <c r="K9" i="1"/>
  <c r="K8" i="1"/>
  <c r="L12" i="1"/>
  <c r="K10" i="1"/>
  <c r="K12" i="1"/>
  <c r="M9" i="1"/>
  <c r="M20" i="1"/>
  <c r="K17" i="1"/>
  <c r="L18" i="1"/>
  <c r="M19" i="1"/>
  <c r="L17" i="1"/>
  <c r="K20" i="1"/>
  <c r="E8" i="1"/>
  <c r="L29" i="1" l="1"/>
  <c r="K26" i="1"/>
  <c r="M27" i="1"/>
  <c r="L26" i="1"/>
  <c r="M26" i="1"/>
  <c r="L27" i="1"/>
  <c r="K27" i="1"/>
  <c r="M30" i="1"/>
  <c r="K30" i="1"/>
  <c r="L30" i="1"/>
  <c r="X33" i="1"/>
  <c r="J38" i="1"/>
  <c r="Q38" i="1" s="1"/>
  <c r="J39" i="1"/>
  <c r="Q39" i="1" s="1"/>
  <c r="J37" i="1"/>
  <c r="Q37" i="1" s="1"/>
  <c r="J36" i="1"/>
  <c r="Q36" i="1" s="1"/>
  <c r="J35" i="1"/>
  <c r="Q35" i="1" s="1"/>
  <c r="F11" i="11"/>
  <c r="F11" i="10"/>
  <c r="F11" i="9"/>
  <c r="F11" i="5"/>
  <c r="M37" i="1" l="1"/>
  <c r="K37" i="1"/>
  <c r="L37" i="1"/>
  <c r="K39" i="1"/>
  <c r="M39" i="1"/>
  <c r="L39" i="1"/>
  <c r="M35" i="1"/>
  <c r="K35" i="1"/>
  <c r="L35" i="1"/>
  <c r="M38" i="1"/>
  <c r="L38" i="1"/>
  <c r="K38" i="1"/>
  <c r="M36" i="1"/>
  <c r="L36" i="1"/>
  <c r="K36" i="1"/>
  <c r="J48" i="1"/>
  <c r="Q48" i="1" s="1"/>
  <c r="X42" i="1"/>
  <c r="J47" i="1"/>
  <c r="Q47" i="1" s="1"/>
  <c r="J44" i="1"/>
  <c r="Q44" i="1" s="1"/>
  <c r="J46" i="1"/>
  <c r="Q46" i="1" s="1"/>
  <c r="J45" i="1"/>
  <c r="Q45" i="1" s="1"/>
  <c r="R9" i="1"/>
  <c r="R10" i="1"/>
  <c r="R12" i="1"/>
  <c r="K44" i="1" l="1"/>
  <c r="M44" i="1"/>
  <c r="L44" i="1"/>
  <c r="K47" i="1"/>
  <c r="L47" i="1"/>
  <c r="M47" i="1"/>
  <c r="M45" i="1"/>
  <c r="K45" i="1"/>
  <c r="L45" i="1"/>
  <c r="M46" i="1"/>
  <c r="L46" i="1"/>
  <c r="K46" i="1"/>
  <c r="M48" i="1"/>
  <c r="L48" i="1"/>
  <c r="K48" i="1"/>
  <c r="R8" i="1"/>
  <c r="F11" i="3"/>
  <c r="E11" i="5"/>
  <c r="E11" i="3"/>
  <c r="E11" i="11" l="1"/>
  <c r="E11" i="9"/>
  <c r="R19" i="1"/>
  <c r="R20" i="1"/>
  <c r="R17" i="1"/>
  <c r="R18" i="1"/>
  <c r="E11" i="10" l="1"/>
  <c r="R36" i="1"/>
  <c r="R37" i="1"/>
  <c r="R38" i="1"/>
  <c r="R35" i="1"/>
  <c r="R27" i="1"/>
  <c r="R28" i="1"/>
  <c r="R26" i="1"/>
  <c r="R29" i="1"/>
  <c r="S44" i="1"/>
  <c r="S35" i="1"/>
  <c r="S26" i="1"/>
  <c r="S17" i="1"/>
  <c r="S8" i="1"/>
  <c r="E9" i="1" l="1"/>
  <c r="G9" i="1" s="1"/>
  <c r="N9" i="1" s="1"/>
  <c r="G8" i="1"/>
  <c r="N8" i="1" s="1"/>
  <c r="V44" i="1"/>
  <c r="V26" i="1"/>
  <c r="V17" i="1"/>
  <c r="R45" i="1"/>
  <c r="R47" i="1"/>
  <c r="R44" i="1"/>
  <c r="R46" i="1"/>
  <c r="U26" i="1"/>
  <c r="T35" i="1"/>
  <c r="T8" i="1"/>
  <c r="X8" i="1" s="1"/>
  <c r="U35" i="1"/>
  <c r="U8" i="1"/>
  <c r="V35" i="1"/>
  <c r="V8" i="1"/>
  <c r="T17" i="1"/>
  <c r="U17" i="1"/>
  <c r="T44" i="1"/>
  <c r="U44" i="1"/>
  <c r="T26" i="1"/>
  <c r="H8" i="1"/>
  <c r="O8" i="1" s="1"/>
  <c r="I8" i="1"/>
  <c r="P8" i="1" s="1"/>
  <c r="T27" i="1" l="1"/>
  <c r="X26" i="1"/>
  <c r="T18" i="1"/>
  <c r="T19" i="1" s="1"/>
  <c r="X17" i="1"/>
  <c r="T45" i="1"/>
  <c r="X44" i="1"/>
  <c r="T46" i="1"/>
  <c r="X45" i="1"/>
  <c r="T36" i="1"/>
  <c r="X35" i="1"/>
  <c r="X18" i="1"/>
  <c r="F8" i="1"/>
  <c r="E10" i="1"/>
  <c r="I9" i="1"/>
  <c r="P9" i="1" s="1"/>
  <c r="H9" i="1"/>
  <c r="O9" i="1" s="1"/>
  <c r="S45" i="1"/>
  <c r="S18" i="1"/>
  <c r="V18" i="1" s="1"/>
  <c r="T9" i="1"/>
  <c r="S9" i="1"/>
  <c r="S36" i="1"/>
  <c r="S27" i="1"/>
  <c r="X9" i="1" l="1"/>
  <c r="F9" i="1" s="1"/>
  <c r="W9" i="1" s="1"/>
  <c r="S10" i="1"/>
  <c r="X27" i="1"/>
  <c r="T28" i="1"/>
  <c r="T47" i="1"/>
  <c r="X46" i="1"/>
  <c r="X36" i="1"/>
  <c r="T37" i="1"/>
  <c r="T20" i="1"/>
  <c r="X19" i="1"/>
  <c r="I10" i="1"/>
  <c r="P10" i="1" s="1"/>
  <c r="E11" i="1"/>
  <c r="G10" i="1"/>
  <c r="N10" i="1" s="1"/>
  <c r="H10" i="1"/>
  <c r="O10" i="1" s="1"/>
  <c r="U45" i="1"/>
  <c r="U36" i="1"/>
  <c r="U18" i="1"/>
  <c r="U27" i="1"/>
  <c r="V45" i="1"/>
  <c r="V36" i="1"/>
  <c r="W8" i="1"/>
  <c r="V27" i="1"/>
  <c r="U9" i="1"/>
  <c r="V9" i="1"/>
  <c r="T10" i="1"/>
  <c r="X10" i="1" s="1"/>
  <c r="V37" i="1"/>
  <c r="U37" i="1"/>
  <c r="V46" i="1"/>
  <c r="U46" i="1"/>
  <c r="V28" i="1"/>
  <c r="U28" i="1"/>
  <c r="U19" i="1"/>
  <c r="V19" i="1"/>
  <c r="T29" i="1" l="1"/>
  <c r="X28" i="1"/>
  <c r="T48" i="1"/>
  <c r="X48" i="1" s="1"/>
  <c r="X47" i="1"/>
  <c r="T38" i="1"/>
  <c r="X37" i="1"/>
  <c r="T21" i="1"/>
  <c r="X21" i="1" s="1"/>
  <c r="X20" i="1"/>
  <c r="T11" i="1"/>
  <c r="X11" i="1" s="1"/>
  <c r="C9" i="11"/>
  <c r="B6" i="11"/>
  <c r="G6" i="11" s="1"/>
  <c r="D9" i="11"/>
  <c r="C6" i="11"/>
  <c r="C7" i="11"/>
  <c r="H7" i="11" s="1"/>
  <c r="B9" i="11"/>
  <c r="B7" i="10"/>
  <c r="G7" i="10" s="1"/>
  <c r="D9" i="10"/>
  <c r="B9" i="10"/>
  <c r="B6" i="10"/>
  <c r="G6" i="10" s="1"/>
  <c r="C9" i="10"/>
  <c r="C6" i="10"/>
  <c r="H6" i="10" s="1"/>
  <c r="C8" i="10"/>
  <c r="H8" i="10" s="1"/>
  <c r="B9" i="9"/>
  <c r="C6" i="9"/>
  <c r="C9" i="9"/>
  <c r="B6" i="9"/>
  <c r="D9" i="9"/>
  <c r="B8" i="5"/>
  <c r="B9" i="5"/>
  <c r="C6" i="5"/>
  <c r="C9" i="5"/>
  <c r="B6" i="5"/>
  <c r="D9" i="5"/>
  <c r="V48" i="1"/>
  <c r="C8" i="11" s="1"/>
  <c r="H8" i="11" s="1"/>
  <c r="U48" i="1"/>
  <c r="B8" i="11" s="1"/>
  <c r="G8" i="11" s="1"/>
  <c r="U39" i="1"/>
  <c r="B8" i="10" s="1"/>
  <c r="G8" i="10" s="1"/>
  <c r="V39" i="1"/>
  <c r="U30" i="1"/>
  <c r="B8" i="9" s="1"/>
  <c r="V30" i="1"/>
  <c r="C8" i="9" s="1"/>
  <c r="H8" i="9" s="1"/>
  <c r="U21" i="1"/>
  <c r="V21" i="1"/>
  <c r="C8" i="5" s="1"/>
  <c r="I11" i="1"/>
  <c r="P11" i="1" s="1"/>
  <c r="G11" i="1"/>
  <c r="N11" i="1" s="1"/>
  <c r="H11" i="1"/>
  <c r="O11" i="1" s="1"/>
  <c r="V11" i="1"/>
  <c r="U11" i="1"/>
  <c r="E12" i="1"/>
  <c r="E17" i="1" s="1"/>
  <c r="G17" i="1" s="1"/>
  <c r="N17" i="1" s="1"/>
  <c r="F10" i="1"/>
  <c r="W10" i="1" s="1"/>
  <c r="U10" i="1"/>
  <c r="V10" i="1"/>
  <c r="U38" i="1"/>
  <c r="V38" i="1"/>
  <c r="H9" i="10" s="1"/>
  <c r="U47" i="1"/>
  <c r="B7" i="11" s="1"/>
  <c r="G7" i="11" s="1"/>
  <c r="V47" i="1"/>
  <c r="U29" i="1"/>
  <c r="V29" i="1"/>
  <c r="C7" i="9" s="1"/>
  <c r="V20" i="1"/>
  <c r="C7" i="5" s="1"/>
  <c r="U20" i="1"/>
  <c r="B7" i="5" s="1"/>
  <c r="G7" i="5" s="1"/>
  <c r="E18" i="1" l="1"/>
  <c r="H18" i="1" s="1"/>
  <c r="O18" i="1" s="1"/>
  <c r="T30" i="1"/>
  <c r="X30" i="1" s="1"/>
  <c r="X29" i="1"/>
  <c r="C7" i="10"/>
  <c r="H7" i="10" s="1"/>
  <c r="T39" i="1"/>
  <c r="X39" i="1" s="1"/>
  <c r="X38" i="1"/>
  <c r="G9" i="9"/>
  <c r="B7" i="9"/>
  <c r="G7" i="9" s="1"/>
  <c r="G9" i="5"/>
  <c r="H12" i="1"/>
  <c r="O12" i="1" s="1"/>
  <c r="H9" i="5"/>
  <c r="H9" i="9"/>
  <c r="H9" i="11"/>
  <c r="T12" i="1"/>
  <c r="X12" i="1" s="1"/>
  <c r="F12" i="1" s="1"/>
  <c r="G12" i="1"/>
  <c r="N12" i="1" s="1"/>
  <c r="G9" i="11"/>
  <c r="G9" i="10"/>
  <c r="I12" i="1"/>
  <c r="P12" i="1" s="1"/>
  <c r="H17" i="1"/>
  <c r="O17" i="1" s="1"/>
  <c r="I17" i="1"/>
  <c r="P17" i="1" s="1"/>
  <c r="F11" i="1"/>
  <c r="W11" i="1" s="1"/>
  <c r="H7" i="9"/>
  <c r="H6" i="11"/>
  <c r="G6" i="5"/>
  <c r="H6" i="5"/>
  <c r="H7" i="5"/>
  <c r="H8" i="5"/>
  <c r="G8" i="5"/>
  <c r="G6" i="9"/>
  <c r="H6" i="9"/>
  <c r="G8" i="9"/>
  <c r="B6" i="3"/>
  <c r="G6" i="3" s="1"/>
  <c r="U12" i="1"/>
  <c r="B9" i="3" s="1"/>
  <c r="V12" i="1"/>
  <c r="C9" i="3" s="1"/>
  <c r="G18" i="1" l="1"/>
  <c r="N18" i="1" s="1"/>
  <c r="F18" i="1" s="1"/>
  <c r="W18" i="1" s="1"/>
  <c r="D6" i="5" s="1"/>
  <c r="I18" i="1"/>
  <c r="P18" i="1" s="1"/>
  <c r="E19" i="1"/>
  <c r="E20" i="1" s="1"/>
  <c r="E21" i="1" s="1"/>
  <c r="F17" i="1"/>
  <c r="F13" i="1"/>
  <c r="W12" i="1"/>
  <c r="D6" i="3"/>
  <c r="I6" i="3" s="1"/>
  <c r="C6" i="3"/>
  <c r="H6" i="3" s="1"/>
  <c r="B7" i="3"/>
  <c r="G7" i="3" s="1"/>
  <c r="C7" i="3"/>
  <c r="H7" i="3" s="1"/>
  <c r="C8" i="3"/>
  <c r="H8" i="3" s="1"/>
  <c r="B8" i="3"/>
  <c r="G8" i="3" s="1"/>
  <c r="H9" i="3"/>
  <c r="G9" i="3"/>
  <c r="W17" i="1"/>
  <c r="I19" i="1"/>
  <c r="P19" i="1" s="1"/>
  <c r="G19" i="1"/>
  <c r="N19" i="1" s="1"/>
  <c r="H19" i="1" l="1"/>
  <c r="O19" i="1" s="1"/>
  <c r="F19" i="1" s="1"/>
  <c r="H21" i="1"/>
  <c r="O21" i="1" s="1"/>
  <c r="E26" i="1"/>
  <c r="I21" i="1"/>
  <c r="P21" i="1" s="1"/>
  <c r="G21" i="1"/>
  <c r="N21" i="1" s="1"/>
  <c r="D8" i="3"/>
  <c r="I8" i="3" s="1"/>
  <c r="D7" i="3"/>
  <c r="I7" i="3" s="1"/>
  <c r="D9" i="3"/>
  <c r="I9" i="3" s="1"/>
  <c r="I20" i="1"/>
  <c r="P20" i="1" s="1"/>
  <c r="H20" i="1"/>
  <c r="O20" i="1" s="1"/>
  <c r="G20" i="1"/>
  <c r="N20" i="1" s="1"/>
  <c r="F21" i="1" l="1"/>
  <c r="W21" i="1" s="1"/>
  <c r="D8" i="5" s="1"/>
  <c r="F20" i="1"/>
  <c r="H3" i="3"/>
  <c r="W19" i="1"/>
  <c r="E27" i="1"/>
  <c r="G26" i="1"/>
  <c r="N26" i="1" s="1"/>
  <c r="H26" i="1"/>
  <c r="O26" i="1" s="1"/>
  <c r="I26" i="1"/>
  <c r="P26" i="1" s="1"/>
  <c r="F22" i="1" l="1"/>
  <c r="F26" i="1"/>
  <c r="W20" i="1"/>
  <c r="H27" i="1"/>
  <c r="O27" i="1" s="1"/>
  <c r="G27" i="1"/>
  <c r="N27" i="1" s="1"/>
  <c r="E28" i="1"/>
  <c r="I27" i="1"/>
  <c r="P27" i="1" s="1"/>
  <c r="I6" i="5" l="1"/>
  <c r="D7" i="5"/>
  <c r="I7" i="5" s="1"/>
  <c r="F27" i="1"/>
  <c r="W27" i="1" s="1"/>
  <c r="I9" i="5"/>
  <c r="I8" i="5"/>
  <c r="I28" i="1"/>
  <c r="P28" i="1" s="1"/>
  <c r="H28" i="1"/>
  <c r="O28" i="1" s="1"/>
  <c r="E29" i="1"/>
  <c r="E30" i="1" s="1"/>
  <c r="E35" i="1" s="1"/>
  <c r="G28" i="1"/>
  <c r="N28" i="1" s="1"/>
  <c r="W26" i="1"/>
  <c r="H30" i="1" l="1"/>
  <c r="O30" i="1" s="1"/>
  <c r="G30" i="1"/>
  <c r="N30" i="1" s="1"/>
  <c r="I30" i="1"/>
  <c r="P30" i="1" s="1"/>
  <c r="F28" i="1"/>
  <c r="W28" i="1" s="1"/>
  <c r="D6" i="9" s="1"/>
  <c r="H3" i="5"/>
  <c r="H29" i="1"/>
  <c r="O29" i="1" s="1"/>
  <c r="I29" i="1"/>
  <c r="P29" i="1" s="1"/>
  <c r="G29" i="1"/>
  <c r="N29" i="1" s="1"/>
  <c r="F30" i="1" l="1"/>
  <c r="W30" i="1" s="1"/>
  <c r="D8" i="9" s="1"/>
  <c r="F29" i="1"/>
  <c r="E36" i="1"/>
  <c r="G35" i="1"/>
  <c r="N35" i="1" s="1"/>
  <c r="I35" i="1"/>
  <c r="P35" i="1" s="1"/>
  <c r="H35" i="1"/>
  <c r="O35" i="1" s="1"/>
  <c r="F31" i="1" l="1"/>
  <c r="F35" i="1"/>
  <c r="W29" i="1"/>
  <c r="D7" i="9" s="1"/>
  <c r="I36" i="1"/>
  <c r="P36" i="1" s="1"/>
  <c r="H36" i="1"/>
  <c r="O36" i="1" s="1"/>
  <c r="G36" i="1"/>
  <c r="N36" i="1" s="1"/>
  <c r="E37" i="1"/>
  <c r="W35" i="1" l="1"/>
  <c r="F36" i="1"/>
  <c r="W36" i="1" s="1"/>
  <c r="I7" i="9"/>
  <c r="I6" i="9"/>
  <c r="I9" i="9"/>
  <c r="I8" i="9"/>
  <c r="I37" i="1"/>
  <c r="P37" i="1" s="1"/>
  <c r="G37" i="1"/>
  <c r="N37" i="1" s="1"/>
  <c r="H37" i="1"/>
  <c r="O37" i="1" s="1"/>
  <c r="E38" i="1"/>
  <c r="E39" i="1" s="1"/>
  <c r="E44" i="1" s="1"/>
  <c r="D6" i="10" l="1"/>
  <c r="I6" i="10" s="1"/>
  <c r="H39" i="1"/>
  <c r="O39" i="1" s="1"/>
  <c r="I39" i="1"/>
  <c r="P39" i="1" s="1"/>
  <c r="G39" i="1"/>
  <c r="N39" i="1" s="1"/>
  <c r="F37" i="1"/>
  <c r="W37" i="1" s="1"/>
  <c r="H3" i="9"/>
  <c r="H38" i="1"/>
  <c r="O38" i="1" s="1"/>
  <c r="I38" i="1"/>
  <c r="P38" i="1" s="1"/>
  <c r="G38" i="1"/>
  <c r="N38" i="1" s="1"/>
  <c r="F39" i="1" l="1"/>
  <c r="W39" i="1" s="1"/>
  <c r="D8" i="10" s="1"/>
  <c r="I8" i="10" s="1"/>
  <c r="F38" i="1"/>
  <c r="E45" i="1"/>
  <c r="G44" i="1"/>
  <c r="N44" i="1" s="1"/>
  <c r="H44" i="1"/>
  <c r="O44" i="1" s="1"/>
  <c r="I44" i="1"/>
  <c r="P44" i="1" s="1"/>
  <c r="F40" i="1" l="1"/>
  <c r="F44" i="1"/>
  <c r="W38" i="1"/>
  <c r="D7" i="10" s="1"/>
  <c r="I7" i="10" s="1"/>
  <c r="H45" i="1"/>
  <c r="O45" i="1" s="1"/>
  <c r="G45" i="1"/>
  <c r="N45" i="1" s="1"/>
  <c r="E46" i="1"/>
  <c r="I45" i="1"/>
  <c r="P45" i="1" s="1"/>
  <c r="W44" i="1" l="1"/>
  <c r="F45" i="1"/>
  <c r="W45" i="1" s="1"/>
  <c r="D6" i="11" s="1"/>
  <c r="I9" i="10"/>
  <c r="H3" i="10" s="1"/>
  <c r="H46" i="1"/>
  <c r="O46" i="1" s="1"/>
  <c r="G46" i="1"/>
  <c r="N46" i="1" s="1"/>
  <c r="E47" i="1"/>
  <c r="E48" i="1" s="1"/>
  <c r="I46" i="1"/>
  <c r="P46" i="1" s="1"/>
  <c r="H48" i="1" l="1"/>
  <c r="O48" i="1" s="1"/>
  <c r="G48" i="1"/>
  <c r="N48" i="1" s="1"/>
  <c r="I48" i="1"/>
  <c r="P48" i="1" s="1"/>
  <c r="F46" i="1"/>
  <c r="W46" i="1" s="1"/>
  <c r="I47" i="1"/>
  <c r="P47" i="1" s="1"/>
  <c r="H47" i="1"/>
  <c r="O47" i="1" s="1"/>
  <c r="G47" i="1"/>
  <c r="N47" i="1" s="1"/>
  <c r="F48" i="1" l="1"/>
  <c r="W48" i="1" s="1"/>
  <c r="D8" i="11" s="1"/>
  <c r="F47" i="1"/>
  <c r="N51" i="1"/>
  <c r="O51" i="1"/>
  <c r="P51" i="1"/>
  <c r="I51" i="1"/>
  <c r="H51" i="1"/>
  <c r="G51" i="1"/>
  <c r="F49" i="1" l="1"/>
  <c r="W47" i="1"/>
  <c r="D7" i="11" s="1"/>
  <c r="I7" i="11" l="1"/>
  <c r="I8" i="11"/>
  <c r="I9" i="11"/>
  <c r="I6" i="11"/>
  <c r="H3" i="11" l="1"/>
</calcChain>
</file>

<file path=xl/sharedStrings.xml><?xml version="1.0" encoding="utf-8"?>
<sst xmlns="http://schemas.openxmlformats.org/spreadsheetml/2006/main" count="159" uniqueCount="59">
  <si>
    <t>PZN</t>
  </si>
  <si>
    <t>Faktor</t>
  </si>
  <si>
    <t>Preis</t>
  </si>
  <si>
    <t>VAXZEVRIA COVID-19-Impfstoff AstraZeneca BUND</t>
  </si>
  <si>
    <t>COMIRNATY Konz.z.Her.e.Inj.-Disp. BioNTech BUND</t>
  </si>
  <si>
    <t>COVID-19 Vaccine Janssen Injektionssuspension BUND</t>
  </si>
  <si>
    <t>Produkt</t>
  </si>
  <si>
    <t>Summe</t>
  </si>
  <si>
    <t>Apotheken-IK</t>
  </si>
  <si>
    <t>Apothekenname</t>
  </si>
  <si>
    <t>Arzt</t>
  </si>
  <si>
    <t>101 - 150 Stk</t>
  </si>
  <si>
    <t>&gt; 150 Stk</t>
  </si>
  <si>
    <t>Position</t>
  </si>
  <si>
    <t>max. Position</t>
  </si>
  <si>
    <t>POS</t>
  </si>
  <si>
    <t>Taxe</t>
  </si>
  <si>
    <t>Abgabedatum</t>
  </si>
  <si>
    <t>Impfbesteck</t>
  </si>
  <si>
    <t>Großhandel</t>
  </si>
  <si>
    <t>Vergütungsminderung Großhandel ab</t>
  </si>
  <si>
    <t>Vials</t>
  </si>
  <si>
    <t>Gesamtpreis (Brutto)</t>
  </si>
  <si>
    <t>Beleg 1</t>
  </si>
  <si>
    <t>Beleg 2</t>
  </si>
  <si>
    <t>Beleg 3</t>
  </si>
  <si>
    <t>Beleg 4</t>
  </si>
  <si>
    <t>Beleg 5</t>
  </si>
  <si>
    <t>&lt;= 100 Stk</t>
  </si>
  <si>
    <t>1.</t>
  </si>
  <si>
    <t>2.</t>
  </si>
  <si>
    <t>Prozess</t>
  </si>
  <si>
    <t>Ø</t>
  </si>
  <si>
    <t>3.</t>
  </si>
  <si>
    <t>Ausfüllen der Tabelle</t>
  </si>
  <si>
    <t>Der Faktor ist dabei jeweils die Anzahl der abgegebenen Vials.</t>
  </si>
  <si>
    <t>Die Apotheke trägt in die EXCEL-Datei ihr IK und ihren Apothekennamen in das Tabellenblatt "Datenerfassung" ein und speichert die Datei als Apotheken-Vorlage ab.</t>
  </si>
  <si>
    <t>Ausgefüllt werden ausschließlich die weißen Felder im Reiter "Datenerfassung" (Abgabedatum und Faktor). Alle anderen Felder sind für die Erfassung gesperrt.</t>
  </si>
  <si>
    <t>Unter den Reitern "Beleg 1" bis "Beleg 5" finden sich die Druckvorlagen für den Apothekenteil der bis zu 5 Impfstoffbelege für diesen Monat, die auf das jeweilige (Muster-16) Formular gedruckt werden müssen.</t>
  </si>
  <si>
    <t>Vergütungsanpassung Apotheke ab</t>
  </si>
  <si>
    <t>Einzelpreis (Netto)</t>
  </si>
  <si>
    <t>Netto</t>
  </si>
  <si>
    <t>Erstes mögliches Datum</t>
  </si>
  <si>
    <t>gerundet</t>
  </si>
  <si>
    <t>kumuliert</t>
  </si>
  <si>
    <t>Es wird ein Verzeichnis "Vorlagen" angelegt. Je Arzt wird eine Kopie der Dateivorlage eingestellt und mit dem Namen des Arztes oder mit dessen Fortbildungsnummer benannt. Der Name und/oder die Fortbildungsnummer des Arztes wird in die neue Dateivorlage in das Tabellenblatt "Datenerfassung" eingetragen. Somit ist am Ende im Vorlagenverzeichnis für jeden bekannten Arzt eine Vorlage vorhanden.</t>
  </si>
  <si>
    <t xml:space="preserve">Wird ein neuer Arzt beliefert, wird zunächst eine neue Vorlage im Vorlagenverzeichnis angelegt und danach ins entsprechende Monatsverzeichnis kopiert. </t>
  </si>
  <si>
    <t>Es müssen alle Impfstoffbelege, für die in einem Monat an einen Arzt Impfstoffe abgegeben wurden, in einer Tabelle unter dem Reiter „Datenerfassung“ erfasst werden. Nur so kann die Preisstaffel korrekt berechnet werden.</t>
  </si>
  <si>
    <t>EXCEL-Tabelle erstellt werden.</t>
  </si>
  <si>
    <t>Für den ersten belieferten Impfstoffbeleg werden die Faktorfelder unter der Überschrift „Beleg 1“ ausgefüllt, für den zweiten belieferten Impfstoffbeleg werden die Faktorfelder unter der Überschrift „Beleg 2“ ausgefüllt, für das dritte die unter Impfstoffbeleg 3 usw.</t>
  </si>
  <si>
    <t>Änderung Impfbesteck</t>
  </si>
  <si>
    <t>SPIKEVAX COVID-19-Impfstoff Moderna BUND</t>
  </si>
  <si>
    <t>"Impfstoffvergütung Betriebsärzte, Ärzte des Öffentlichen Gesundheitsdienstes/</t>
  </si>
  <si>
    <t>der Impfzentren/der mobilen Impfteams (ÖGD), Ärzte in Krankenhäusern"</t>
  </si>
  <si>
    <r>
      <rPr>
        <b/>
        <u/>
        <sz val="11"/>
        <color theme="1"/>
        <rFont val="Calibri"/>
        <family val="2"/>
        <scheme val="minor"/>
      </rPr>
      <t>WICHTIG:</t>
    </r>
    <r>
      <rPr>
        <sz val="11"/>
        <color theme="1"/>
        <rFont val="Calibri"/>
        <family val="2"/>
        <scheme val="minor"/>
      </rPr>
      <t xml:space="preserve"> Es muss je Betriebsarzt, Arzt des ÖGD, Krankenhausarzt (im Folgenden nur "Arzt" genannt) und Monat eine </t>
    </r>
  </si>
  <si>
    <t>COMIRNATY 10 µg BioNTECH Kinder 5-11 Jahre BUND</t>
  </si>
  <si>
    <t>2. Änderung Impfbesteck</t>
  </si>
  <si>
    <t>Anleitung zur Taxierungshilfe (Version 6)</t>
  </si>
  <si>
    <t>Nun wird je Monat ein Verzeichnis angelegt (z.B. November_2021). Aus dem Vorlagenverzeichnis wird die entsprechende Arzt-Vorlage in das  Monatsverzeichnis kopiert und ausgefüllt (Abgabedatum und Faktor).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</si>
</sst>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 #,##0.00\ &quot;€&quot;_-;\-* #,##0.00\ &quot;€&quot;_-;_-* &quot;-&quot;??\ &quot;€&quot;_-;_-@_-"/>
    <numFmt numFmtId="164" formatCode="dd/mm/yy;@"/>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2"/>
      <color theme="1"/>
      <name val="Calibri"/>
      <family val="2"/>
      <scheme val="minor"/>
    </font>
    <font>
      <sz val="12"/>
      <color theme="1"/>
      <name val="Courier New"/>
      <family val="3"/>
    </font>
    <font>
      <sz val="10"/>
      <color theme="1"/>
      <name val="Courier New"/>
      <family val="3"/>
    </font>
    <font>
      <b/>
      <sz val="18"/>
      <color theme="1"/>
      <name val="Calibri"/>
      <family val="2"/>
      <scheme val="minor"/>
    </font>
    <font>
      <sz val="11"/>
      <color theme="1"/>
      <name val="Wingdings"/>
      <charset val="2"/>
    </font>
    <font>
      <b/>
      <u/>
      <sz val="11"/>
      <color theme="1"/>
      <name val="Calibri"/>
      <family val="2"/>
      <scheme val="minor"/>
    </font>
  </fonts>
  <fills count="6">
    <fill>
      <patternFill patternType="none"/>
    </fill>
    <fill>
      <patternFill patternType="gray125"/>
    </fill>
    <fill>
      <patternFill patternType="solid">
        <fgColor theme="2"/>
        <bgColor indexed="64"/>
      </patternFill>
    </fill>
    <fill>
      <patternFill patternType="solid">
        <fgColor theme="0"/>
        <bgColor indexed="64"/>
      </patternFill>
    </fill>
    <fill>
      <patternFill patternType="solid">
        <fgColor rgb="FFFFFF00"/>
        <bgColor indexed="64"/>
      </patternFill>
    </fill>
    <fill>
      <patternFill patternType="solid">
        <fgColor theme="7" tint="0.79998168889431442"/>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diagonal/>
    </border>
  </borders>
  <cellStyleXfs count="2">
    <xf numFmtId="0" fontId="0" fillId="0" borderId="0"/>
    <xf numFmtId="44" fontId="1" fillId="0" borderId="0" applyFont="0" applyFill="0" applyBorder="0" applyAlignment="0" applyProtection="0"/>
  </cellStyleXfs>
  <cellXfs count="56">
    <xf numFmtId="0" fontId="0" fillId="0" borderId="0" xfId="0"/>
    <xf numFmtId="0" fontId="0" fillId="2" borderId="0" xfId="0" applyFill="1"/>
    <xf numFmtId="0" fontId="2" fillId="2" borderId="1" xfId="0" applyFont="1" applyFill="1" applyBorder="1"/>
    <xf numFmtId="0" fontId="0" fillId="2" borderId="1" xfId="0" applyFill="1" applyBorder="1"/>
    <xf numFmtId="0" fontId="4" fillId="0" borderId="0" xfId="0" applyFont="1"/>
    <xf numFmtId="0" fontId="4" fillId="0" borderId="0" xfId="0" applyFont="1" applyAlignment="1">
      <alignment vertical="center"/>
    </xf>
    <xf numFmtId="0" fontId="0" fillId="2" borderId="2" xfId="0" applyFont="1" applyFill="1" applyBorder="1" applyAlignment="1">
      <alignment horizontal="right"/>
    </xf>
    <xf numFmtId="0" fontId="0" fillId="2" borderId="0" xfId="0" applyFont="1" applyFill="1"/>
    <xf numFmtId="0" fontId="0" fillId="2" borderId="1" xfId="0" applyFont="1" applyFill="1" applyBorder="1"/>
    <xf numFmtId="0" fontId="0" fillId="0" borderId="0" xfId="0" applyFont="1"/>
    <xf numFmtId="0" fontId="2" fillId="0" borderId="0" xfId="0" applyFont="1"/>
    <xf numFmtId="44" fontId="1" fillId="2" borderId="1" xfId="1" applyFont="1" applyFill="1" applyBorder="1"/>
    <xf numFmtId="0" fontId="5" fillId="0" borderId="0" xfId="0" applyFont="1"/>
    <xf numFmtId="0" fontId="5" fillId="0" borderId="0" xfId="0" applyFont="1" applyAlignment="1">
      <alignment horizontal="right"/>
    </xf>
    <xf numFmtId="2" fontId="5" fillId="0" borderId="0" xfId="0" applyNumberFormat="1" applyFont="1"/>
    <xf numFmtId="0" fontId="5" fillId="0" borderId="0" xfId="0" applyFont="1" applyAlignment="1">
      <alignment vertical="center"/>
    </xf>
    <xf numFmtId="0" fontId="5" fillId="0" borderId="0" xfId="0" applyFont="1" applyFill="1" applyBorder="1" applyAlignment="1">
      <alignment vertical="center"/>
    </xf>
    <xf numFmtId="1" fontId="5" fillId="0" borderId="0" xfId="0" applyNumberFormat="1" applyFont="1" applyAlignment="1">
      <alignment vertical="center"/>
    </xf>
    <xf numFmtId="164" fontId="5" fillId="0" borderId="0" xfId="0" applyNumberFormat="1" applyFont="1"/>
    <xf numFmtId="0" fontId="5" fillId="0" borderId="0" xfId="0" applyFont="1" applyAlignment="1">
      <alignment horizontal="left" vertical="center"/>
    </xf>
    <xf numFmtId="44" fontId="0" fillId="0" borderId="0" xfId="0" applyNumberFormat="1" applyFont="1"/>
    <xf numFmtId="0" fontId="5" fillId="0" borderId="0" xfId="0" applyFont="1" applyAlignment="1">
      <alignment horizontal="center"/>
    </xf>
    <xf numFmtId="0" fontId="7" fillId="0" borderId="0" xfId="0" applyFont="1" applyAlignment="1">
      <alignment vertical="top"/>
    </xf>
    <xf numFmtId="0" fontId="0" fillId="0" borderId="0" xfId="0" applyAlignment="1">
      <alignment vertical="top" wrapText="1"/>
    </xf>
    <xf numFmtId="0" fontId="0" fillId="0" borderId="0" xfId="0" applyAlignment="1">
      <alignment vertical="top"/>
    </xf>
    <xf numFmtId="0" fontId="5" fillId="4" borderId="0" xfId="0" applyFont="1" applyFill="1"/>
    <xf numFmtId="0" fontId="5" fillId="4" borderId="0" xfId="0" applyFont="1" applyFill="1" applyAlignment="1">
      <alignment vertical="center"/>
    </xf>
    <xf numFmtId="0" fontId="5" fillId="4" borderId="1" xfId="0" applyFont="1" applyFill="1" applyBorder="1" applyAlignment="1">
      <alignment vertical="center"/>
    </xf>
    <xf numFmtId="0" fontId="0" fillId="5" borderId="0" xfId="0" applyFont="1" applyFill="1"/>
    <xf numFmtId="0" fontId="0" fillId="5" borderId="2" xfId="0" applyFont="1" applyFill="1" applyBorder="1" applyAlignment="1">
      <alignment horizontal="right"/>
    </xf>
    <xf numFmtId="0" fontId="0" fillId="5" borderId="2" xfId="0" applyFont="1" applyFill="1" applyBorder="1" applyAlignment="1"/>
    <xf numFmtId="0" fontId="2" fillId="5" borderId="1" xfId="0" applyFont="1" applyFill="1" applyBorder="1"/>
    <xf numFmtId="0" fontId="0" fillId="5" borderId="1" xfId="0" applyFont="1" applyFill="1" applyBorder="1"/>
    <xf numFmtId="0" fontId="0" fillId="5" borderId="0" xfId="0" applyFill="1"/>
    <xf numFmtId="14" fontId="0" fillId="5" borderId="0" xfId="0" applyNumberFormat="1" applyFill="1"/>
    <xf numFmtId="44" fontId="0" fillId="5" borderId="0" xfId="1" applyFont="1" applyFill="1"/>
    <xf numFmtId="14" fontId="0" fillId="5" borderId="0" xfId="1" applyNumberFormat="1" applyFont="1" applyFill="1"/>
    <xf numFmtId="0" fontId="0" fillId="5" borderId="0" xfId="0" applyFill="1" applyAlignment="1">
      <alignment horizontal="center"/>
    </xf>
    <xf numFmtId="0" fontId="2" fillId="5" borderId="3" xfId="0" quotePrefix="1" applyFont="1" applyFill="1" applyBorder="1"/>
    <xf numFmtId="44" fontId="2" fillId="5" borderId="3" xfId="1" quotePrefix="1" applyFont="1" applyFill="1" applyBorder="1"/>
    <xf numFmtId="44" fontId="2" fillId="5" borderId="3" xfId="1" applyFont="1" applyFill="1" applyBorder="1"/>
    <xf numFmtId="0" fontId="2" fillId="5" borderId="0" xfId="0" applyFont="1" applyFill="1"/>
    <xf numFmtId="44" fontId="0" fillId="5" borderId="0" xfId="0" applyNumberFormat="1" applyFill="1"/>
    <xf numFmtId="44" fontId="2" fillId="5" borderId="0" xfId="1" applyFont="1" applyFill="1"/>
    <xf numFmtId="0" fontId="2" fillId="2" borderId="0" xfId="0" applyFont="1" applyFill="1"/>
    <xf numFmtId="0" fontId="0" fillId="0" borderId="0" xfId="0" applyProtection="1">
      <protection locked="0"/>
    </xf>
    <xf numFmtId="0" fontId="0" fillId="0" borderId="1" xfId="0" applyFont="1" applyBorder="1" applyProtection="1">
      <protection locked="0"/>
    </xf>
    <xf numFmtId="14" fontId="0" fillId="0" borderId="2" xfId="0" applyNumberFormat="1" applyFont="1" applyFill="1" applyBorder="1" applyAlignment="1" applyProtection="1">
      <protection locked="0"/>
    </xf>
    <xf numFmtId="0" fontId="6" fillId="0" borderId="0" xfId="0" applyFont="1" applyAlignment="1">
      <alignment horizontal="center"/>
    </xf>
    <xf numFmtId="44" fontId="0" fillId="5" borderId="0" xfId="1" applyFont="1" applyFill="1" applyAlignment="1">
      <alignment horizontal="center"/>
    </xf>
    <xf numFmtId="0" fontId="3" fillId="2" borderId="2" xfId="0" applyFont="1" applyFill="1" applyBorder="1" applyAlignment="1">
      <alignment horizontal="center"/>
    </xf>
    <xf numFmtId="0" fontId="0" fillId="5" borderId="0" xfId="0" applyFill="1" applyAlignment="1">
      <alignment horizontal="left"/>
    </xf>
    <xf numFmtId="0" fontId="0" fillId="2" borderId="0" xfId="0" applyFont="1" applyFill="1" applyAlignment="1">
      <alignment horizontal="left"/>
    </xf>
    <xf numFmtId="0" fontId="0" fillId="3" borderId="0" xfId="0" applyFont="1" applyFill="1" applyAlignment="1" applyProtection="1">
      <alignment horizontal="left"/>
      <protection locked="0"/>
    </xf>
    <xf numFmtId="0" fontId="0" fillId="5" borderId="0" xfId="0" applyFill="1" applyAlignment="1">
      <alignment horizontal="center"/>
    </xf>
    <xf numFmtId="2" fontId="5" fillId="0" borderId="0" xfId="0" applyNumberFormat="1" applyFont="1" applyAlignment="1">
      <alignment horizontal="right"/>
    </xf>
  </cellXfs>
  <cellStyles count="2">
    <cellStyle name="Standard" xfId="0" builtinId="0"/>
    <cellStyle name="Währung" xfId="1"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2:D20"/>
  <sheetViews>
    <sheetView tabSelected="1" zoomScaleNormal="100" workbookViewId="0">
      <selection activeCell="D19" sqref="D19"/>
    </sheetView>
  </sheetViews>
  <sheetFormatPr baseColWidth="10" defaultRowHeight="14.4" x14ac:dyDescent="0.3"/>
  <cols>
    <col min="1" max="1" width="5.44140625" customWidth="1"/>
    <col min="2" max="2" width="2.5546875" bestFit="1" customWidth="1"/>
    <col min="3" max="3" width="5.33203125" customWidth="1"/>
    <col min="4" max="4" width="110.109375" customWidth="1"/>
  </cols>
  <sheetData>
    <row r="2" spans="1:4" ht="23.25" x14ac:dyDescent="0.35">
      <c r="A2" s="48" t="s">
        <v>57</v>
      </c>
      <c r="B2" s="48"/>
      <c r="C2" s="48"/>
      <c r="D2" s="48"/>
    </row>
    <row r="3" spans="1:4" ht="24" customHeight="1" x14ac:dyDescent="0.45">
      <c r="A3" s="48" t="s">
        <v>52</v>
      </c>
      <c r="B3" s="48"/>
      <c r="C3" s="48"/>
      <c r="D3" s="48"/>
    </row>
    <row r="4" spans="1:4" ht="24" customHeight="1" x14ac:dyDescent="0.45">
      <c r="A4" s="48" t="s">
        <v>53</v>
      </c>
      <c r="B4" s="48"/>
      <c r="C4" s="48"/>
      <c r="D4" s="48"/>
    </row>
    <row r="6" spans="1:4" x14ac:dyDescent="0.3">
      <c r="B6" t="s">
        <v>29</v>
      </c>
      <c r="C6" t="s">
        <v>54</v>
      </c>
    </row>
    <row r="7" spans="1:4" ht="15" x14ac:dyDescent="0.25">
      <c r="C7" t="s">
        <v>48</v>
      </c>
    </row>
    <row r="9" spans="1:4" ht="15" x14ac:dyDescent="0.25">
      <c r="B9" t="s">
        <v>30</v>
      </c>
      <c r="C9" t="s">
        <v>31</v>
      </c>
    </row>
    <row r="10" spans="1:4" ht="28.8" x14ac:dyDescent="0.3">
      <c r="C10" s="22" t="s">
        <v>32</v>
      </c>
      <c r="D10" s="23" t="s">
        <v>36</v>
      </c>
    </row>
    <row r="11" spans="1:4" ht="57.6" x14ac:dyDescent="0.3">
      <c r="C11" s="22" t="s">
        <v>32</v>
      </c>
      <c r="D11" s="23" t="s">
        <v>45</v>
      </c>
    </row>
    <row r="12" spans="1:4" ht="28.8" x14ac:dyDescent="0.3">
      <c r="C12" s="22" t="s">
        <v>32</v>
      </c>
      <c r="D12" s="23" t="s">
        <v>58</v>
      </c>
    </row>
    <row r="13" spans="1:4" ht="28.8" x14ac:dyDescent="0.3">
      <c r="C13" s="22" t="s">
        <v>32</v>
      </c>
      <c r="D13" s="23" t="s">
        <v>46</v>
      </c>
    </row>
    <row r="15" spans="1:4" x14ac:dyDescent="0.3">
      <c r="B15" t="s">
        <v>33</v>
      </c>
      <c r="C15" s="24" t="s">
        <v>34</v>
      </c>
    </row>
    <row r="16" spans="1:4" ht="28.8" x14ac:dyDescent="0.3">
      <c r="C16" s="22" t="s">
        <v>32</v>
      </c>
      <c r="D16" s="23" t="s">
        <v>37</v>
      </c>
    </row>
    <row r="17" spans="3:4" ht="28.8" x14ac:dyDescent="0.3">
      <c r="C17" s="22" t="s">
        <v>32</v>
      </c>
      <c r="D17" s="23" t="s">
        <v>47</v>
      </c>
    </row>
    <row r="18" spans="3:4" ht="43.2" x14ac:dyDescent="0.3">
      <c r="C18" s="22" t="s">
        <v>32</v>
      </c>
      <c r="D18" s="23" t="s">
        <v>49</v>
      </c>
    </row>
    <row r="19" spans="3:4" x14ac:dyDescent="0.3">
      <c r="C19" s="22" t="s">
        <v>32</v>
      </c>
      <c r="D19" t="s">
        <v>35</v>
      </c>
    </row>
    <row r="20" spans="3:4" ht="28.8" x14ac:dyDescent="0.3">
      <c r="C20" s="22" t="s">
        <v>32</v>
      </c>
      <c r="D20" s="23" t="s">
        <v>38</v>
      </c>
    </row>
  </sheetData>
  <sheetProtection algorithmName="SHA-512" hashValue="iukK8fF2q91Cg1BFQU9cou0p/RKszDmqryemNj0AoiQXKWwaoP7fA4MXqWDtgDC+Wbr5qI0OzuL7QGxPIsDOvg==" saltValue="s683CukYmJiD63f1f5BboA==" spinCount="100000" sheet="1" selectLockedCells="1" selectUnlockedCells="1"/>
  <mergeCells count="3">
    <mergeCell ref="A2:D2"/>
    <mergeCell ref="A3:D3"/>
    <mergeCell ref="A4:D4"/>
  </mergeCells>
  <pageMargins left="0.7" right="0.7" top="0.78740157499999996" bottom="0.78740157499999996" header="0.3" footer="0.3"/>
  <pageSetup paperSize="9" scale="67" fitToWidth="0"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51"/>
  <sheetViews>
    <sheetView zoomScaleNormal="100" workbookViewId="0">
      <selection activeCell="F15" sqref="F15"/>
    </sheetView>
  </sheetViews>
  <sheetFormatPr baseColWidth="10" defaultRowHeight="14.4" x14ac:dyDescent="0.3"/>
  <cols>
    <col min="1" max="1" width="13.33203125" bestFit="1" customWidth="1"/>
    <col min="2" max="2" width="50.88671875" bestFit="1" customWidth="1"/>
    <col min="3" max="3" width="13.109375" style="9" customWidth="1"/>
    <col min="4" max="5" width="13.109375" style="28" hidden="1" customWidth="1"/>
    <col min="6" max="6" width="13.109375" style="9" customWidth="1"/>
    <col min="7" max="13" width="11.44140625" style="33" hidden="1" customWidth="1"/>
    <col min="14" max="15" width="11.44140625" style="35" hidden="1" customWidth="1"/>
    <col min="16" max="16" width="10" style="35" hidden="1" customWidth="1"/>
    <col min="17" max="18" width="11.44140625" style="35" hidden="1" customWidth="1"/>
    <col min="19" max="22" width="11.44140625" style="33" hidden="1" customWidth="1"/>
    <col min="23" max="23" width="12" style="33" hidden="1" customWidth="1"/>
    <col min="24" max="24" width="66" hidden="1" customWidth="1"/>
  </cols>
  <sheetData>
    <row r="1" spans="1:24" x14ac:dyDescent="0.3">
      <c r="A1" s="1" t="s">
        <v>8</v>
      </c>
      <c r="B1" s="1" t="s">
        <v>9</v>
      </c>
      <c r="C1" s="52" t="s">
        <v>10</v>
      </c>
      <c r="D1" s="52"/>
      <c r="E1" s="52"/>
      <c r="F1" s="52"/>
      <c r="G1" s="51" t="s">
        <v>20</v>
      </c>
      <c r="H1" s="51"/>
      <c r="I1" s="51"/>
      <c r="K1" s="34">
        <v>44396</v>
      </c>
      <c r="M1" s="35"/>
      <c r="R1" s="33"/>
      <c r="X1" s="1"/>
    </row>
    <row r="2" spans="1:24" x14ac:dyDescent="0.3">
      <c r="A2" s="45"/>
      <c r="B2" s="45"/>
      <c r="C2" s="53"/>
      <c r="D2" s="53"/>
      <c r="E2" s="53"/>
      <c r="F2" s="53"/>
      <c r="G2" s="51" t="s">
        <v>39</v>
      </c>
      <c r="H2" s="51"/>
      <c r="I2" s="51"/>
      <c r="K2" s="36">
        <v>44389</v>
      </c>
      <c r="L2" s="35"/>
      <c r="M2" s="35"/>
      <c r="P2" s="33"/>
      <c r="Q2" s="33"/>
      <c r="R2" s="33"/>
      <c r="X2" s="1"/>
    </row>
    <row r="3" spans="1:24" x14ac:dyDescent="0.3">
      <c r="A3" s="1"/>
      <c r="B3" s="1"/>
      <c r="C3" s="7"/>
      <c r="F3" s="7"/>
      <c r="G3" s="51" t="s">
        <v>42</v>
      </c>
      <c r="H3" s="51"/>
      <c r="I3" s="51"/>
      <c r="K3" s="34">
        <v>44347</v>
      </c>
      <c r="X3" s="1"/>
    </row>
    <row r="4" spans="1:24" x14ac:dyDescent="0.3">
      <c r="A4" s="1"/>
      <c r="B4" s="1"/>
      <c r="C4" s="7"/>
      <c r="F4" s="7"/>
      <c r="G4" s="51" t="s">
        <v>50</v>
      </c>
      <c r="H4" s="51"/>
      <c r="I4" s="51"/>
      <c r="K4" s="34">
        <v>44516</v>
      </c>
      <c r="X4" s="1"/>
    </row>
    <row r="5" spans="1:24" x14ac:dyDescent="0.3">
      <c r="A5" s="1"/>
      <c r="B5" s="1"/>
      <c r="C5" s="7"/>
      <c r="F5" s="7"/>
      <c r="G5" s="51" t="s">
        <v>56</v>
      </c>
      <c r="H5" s="51"/>
      <c r="I5" s="51"/>
      <c r="K5" s="34">
        <v>44522</v>
      </c>
      <c r="X5" s="1"/>
    </row>
    <row r="6" spans="1:24" ht="15.75" x14ac:dyDescent="0.25">
      <c r="A6" s="50" t="s">
        <v>23</v>
      </c>
      <c r="B6" s="50"/>
      <c r="C6" s="6" t="s">
        <v>17</v>
      </c>
      <c r="D6" s="29"/>
      <c r="E6" s="30"/>
      <c r="F6" s="47"/>
      <c r="G6" s="54" t="s">
        <v>21</v>
      </c>
      <c r="H6" s="54"/>
      <c r="I6" s="54"/>
      <c r="J6" s="37"/>
      <c r="K6" s="49" t="s">
        <v>40</v>
      </c>
      <c r="L6" s="49"/>
      <c r="M6" s="49"/>
      <c r="N6" s="49" t="s">
        <v>22</v>
      </c>
      <c r="O6" s="49"/>
      <c r="P6" s="49"/>
      <c r="Q6" s="49" t="s">
        <v>41</v>
      </c>
      <c r="R6" s="49"/>
      <c r="X6" s="1" t="str">
        <f>IF(F6&lt;$K$3, "Eine Belieferung der Ärzte kann erst ab dem 31.05.2021 erfolgen", "")</f>
        <v>Eine Belieferung der Ärzte kann erst ab dem 31.05.2021 erfolgen</v>
      </c>
    </row>
    <row r="7" spans="1:24" s="10" customFormat="1" x14ac:dyDescent="0.3">
      <c r="A7" s="2" t="s">
        <v>0</v>
      </c>
      <c r="B7" s="2" t="s">
        <v>6</v>
      </c>
      <c r="C7" s="2" t="s">
        <v>1</v>
      </c>
      <c r="D7" s="31" t="s">
        <v>43</v>
      </c>
      <c r="E7" s="31" t="s">
        <v>44</v>
      </c>
      <c r="F7" s="2" t="s">
        <v>2</v>
      </c>
      <c r="G7" s="38" t="s">
        <v>28</v>
      </c>
      <c r="H7" s="38" t="s">
        <v>11</v>
      </c>
      <c r="I7" s="38" t="s">
        <v>12</v>
      </c>
      <c r="J7" s="38" t="s">
        <v>17</v>
      </c>
      <c r="K7" s="39" t="s">
        <v>28</v>
      </c>
      <c r="L7" s="39" t="s">
        <v>11</v>
      </c>
      <c r="M7" s="39" t="s">
        <v>12</v>
      </c>
      <c r="N7" s="39" t="s">
        <v>28</v>
      </c>
      <c r="O7" s="39" t="s">
        <v>11</v>
      </c>
      <c r="P7" s="39" t="s">
        <v>12</v>
      </c>
      <c r="Q7" s="39" t="s">
        <v>18</v>
      </c>
      <c r="R7" s="39" t="s">
        <v>19</v>
      </c>
      <c r="S7" s="40" t="s">
        <v>13</v>
      </c>
      <c r="T7" s="40" t="s">
        <v>14</v>
      </c>
      <c r="U7" s="41"/>
      <c r="V7" s="41"/>
      <c r="W7" s="41"/>
      <c r="X7" s="44"/>
    </row>
    <row r="8" spans="1:24" ht="15" x14ac:dyDescent="0.25">
      <c r="A8" s="3">
        <v>17377625</v>
      </c>
      <c r="B8" s="3" t="s">
        <v>3</v>
      </c>
      <c r="C8" s="46"/>
      <c r="D8" s="32">
        <f>ROUND(C8,0)</f>
        <v>0</v>
      </c>
      <c r="E8" s="32">
        <f>C8</f>
        <v>0</v>
      </c>
      <c r="F8" s="11" t="str">
        <f>IF(AND(C8&gt;0,X8="",J8&gt;=$K$3), N8+O8+P8, "")</f>
        <v/>
      </c>
      <c r="G8" s="33">
        <f>IF(E8&lt;100,C8,IF(E8-C8&gt;100,0,MIN(100-(E8-C8))))</f>
        <v>0</v>
      </c>
      <c r="H8" s="33">
        <f>IF(E8&lt;=100,0,IF(E8-C8&gt;150,0,MIN(150,E8)-MAX(100,E8-C8)))</f>
        <v>0</v>
      </c>
      <c r="I8" s="33">
        <f>IF(E8&lt;=150,0,E8-MAX(150,E8-C8))</f>
        <v>0</v>
      </c>
      <c r="J8" s="34">
        <f>F6</f>
        <v>0</v>
      </c>
      <c r="K8" s="33" t="str">
        <f>IF($J8&lt;$K$3, "", IF($J8&lt;$K$2,6.58,7.58))</f>
        <v/>
      </c>
      <c r="L8" s="33" t="str">
        <f>IF($J8&lt;$K$3, "", IF($J8&lt;$K$2,4.28,4.92))</f>
        <v/>
      </c>
      <c r="M8" s="33" t="str">
        <f>IF($J8&lt;$K$3, "", IF($J8&lt;$K$2,2.19,2.52))</f>
        <v/>
      </c>
      <c r="N8" s="35" t="str">
        <f>IF($J8&lt;$K$3, "",G8*ROUND((K8+$Q8+$R8)*1.19,2))</f>
        <v/>
      </c>
      <c r="O8" s="35" t="str">
        <f t="shared" ref="O8:P8" si="0">IF($J8&lt;$K$3, "",H8*ROUND((L8+$Q8+$R8)*1.19,2))</f>
        <v/>
      </c>
      <c r="P8" s="35" t="str">
        <f t="shared" si="0"/>
        <v/>
      </c>
      <c r="Q8" s="35">
        <f>IF(J8&lt;$K$4,1.65,IF(J8&lt;$K$5,1.4,3.72))</f>
        <v>1.65</v>
      </c>
      <c r="R8" s="35">
        <f>IF(F$6&lt;$K$1,8.6,7.45)</f>
        <v>8.6</v>
      </c>
      <c r="S8" s="33">
        <f>IF(C8&gt;0,1,0)</f>
        <v>0</v>
      </c>
      <c r="T8" s="33">
        <f>S8</f>
        <v>0</v>
      </c>
      <c r="U8" s="33" t="str">
        <f>IF(S8&gt;0,A8,"")</f>
        <v/>
      </c>
      <c r="V8" s="33" t="str">
        <f>IF(S8&gt;0,C8,"")</f>
        <v/>
      </c>
      <c r="W8" s="42" t="str">
        <f>IF(S8&gt;0,F8,"")</f>
        <v/>
      </c>
      <c r="X8" s="1" t="str">
        <f t="shared" ref="X8:X10" si="1">IF(AND(C8&lt;&gt;0,T8&gt;3),"Es dürfen maximal 3 Positionen auf einem Rezept gedruckt werden!","")</f>
        <v/>
      </c>
    </row>
    <row r="9" spans="1:24" ht="15" x14ac:dyDescent="0.25">
      <c r="A9" s="3">
        <v>17377588</v>
      </c>
      <c r="B9" s="3" t="s">
        <v>4</v>
      </c>
      <c r="C9" s="46"/>
      <c r="D9" s="32">
        <f t="shared" ref="D9:D12" si="2">ROUND(C9,0)</f>
        <v>0</v>
      </c>
      <c r="E9" s="32">
        <f>E8+C9</f>
        <v>0</v>
      </c>
      <c r="F9" s="11" t="str">
        <f t="shared" ref="F9:F12" si="3">IF(AND(C9&gt;0,X9="",J9&gt;=$K$3), N9+O9+P9, "")</f>
        <v/>
      </c>
      <c r="G9" s="33">
        <f>IF(E9&lt;100,C9,IF(E9-C9&gt;100,0,MIN(100-(E9-C9))))</f>
        <v>0</v>
      </c>
      <c r="H9" s="33">
        <f>IF(E9&lt;=100,0,IF(E9-C9&gt;150,0,MIN(150,E9)-MAX(100,E9-C9)))</f>
        <v>0</v>
      </c>
      <c r="I9" s="33">
        <f>IF(E9&lt;=150,0,E9-MAX(150,E9-C9))</f>
        <v>0</v>
      </c>
      <c r="J9" s="34">
        <f>F6</f>
        <v>0</v>
      </c>
      <c r="K9" s="33" t="str">
        <f t="shared" ref="K9:K12" si="4">IF($J9&lt;$K$3, "", IF($J9&lt;$K$2,6.58,7.58))</f>
        <v/>
      </c>
      <c r="L9" s="33" t="str">
        <f t="shared" ref="L9:L12" si="5">IF($J9&lt;$K$3, "", IF($J9&lt;$K$2,4.28,4.92))</f>
        <v/>
      </c>
      <c r="M9" s="33" t="str">
        <f t="shared" ref="M9:M12" si="6">IF($J9&lt;$K$3, "", IF($J9&lt;$K$2,2.19,2.52))</f>
        <v/>
      </c>
      <c r="N9" s="35" t="str">
        <f t="shared" ref="N9:N12" si="7">IF($J9&lt;$K$3, "",G9*ROUND((K9+$Q9+$R9)*1.19,2))</f>
        <v/>
      </c>
      <c r="O9" s="35" t="str">
        <f t="shared" ref="O9:O12" si="8">IF($J9&lt;$K$3, "",H9*ROUND((L9+$Q9+$R9)*1.19,2))</f>
        <v/>
      </c>
      <c r="P9" s="35" t="str">
        <f t="shared" ref="P9:P12" si="9">IF($J9&lt;$K$3, "",I9*ROUND((M9+$Q9+$R9)*1.19,2))</f>
        <v/>
      </c>
      <c r="Q9" s="35">
        <f t="shared" ref="Q9:Q12" si="10">IF(J9&lt;$K$4,1.65,IF(J9&lt;$K$5,1.4,3.72))</f>
        <v>1.65</v>
      </c>
      <c r="R9" s="35">
        <f>IF(F$6&lt;$K$1,8.6,7.45)</f>
        <v>8.6</v>
      </c>
      <c r="S9" s="33">
        <f>IF(C9&gt;0,T8+1,0)</f>
        <v>0</v>
      </c>
      <c r="T9" s="33">
        <f>IF(C9&gt;0,T8+1,T8)</f>
        <v>0</v>
      </c>
      <c r="U9" s="33" t="str">
        <f>IF(S9&gt;0,A9,"")</f>
        <v/>
      </c>
      <c r="V9" s="33" t="str">
        <f>IF(S9&gt;0,C9,"")</f>
        <v/>
      </c>
      <c r="W9" s="42" t="str">
        <f>IF(S9&gt;0,F9,"")</f>
        <v/>
      </c>
      <c r="X9" s="1" t="str">
        <f t="shared" si="1"/>
        <v/>
      </c>
    </row>
    <row r="10" spans="1:24" ht="15" x14ac:dyDescent="0.25">
      <c r="A10" s="3">
        <v>17377602</v>
      </c>
      <c r="B10" s="3" t="s">
        <v>51</v>
      </c>
      <c r="C10" s="46"/>
      <c r="D10" s="32">
        <f t="shared" si="2"/>
        <v>0</v>
      </c>
      <c r="E10" s="32">
        <f>E9+C10</f>
        <v>0</v>
      </c>
      <c r="F10" s="11" t="str">
        <f t="shared" si="3"/>
        <v/>
      </c>
      <c r="G10" s="33">
        <f>IF(E10&lt;100,C10,IF(E10-C10&gt;100,0,MIN(100-(E10-C10))))</f>
        <v>0</v>
      </c>
      <c r="H10" s="33">
        <f>IF(E10&lt;=100,0,IF(E10-C10&gt;150,0,MIN(150,E10)-MAX(100,E10-C10)))</f>
        <v>0</v>
      </c>
      <c r="I10" s="33">
        <f>IF(E10&lt;=150,0,E10-MAX(150,E10-C10))</f>
        <v>0</v>
      </c>
      <c r="J10" s="34">
        <f>F6</f>
        <v>0</v>
      </c>
      <c r="K10" s="33" t="str">
        <f t="shared" si="4"/>
        <v/>
      </c>
      <c r="L10" s="33" t="str">
        <f t="shared" si="5"/>
        <v/>
      </c>
      <c r="M10" s="33" t="str">
        <f t="shared" si="6"/>
        <v/>
      </c>
      <c r="N10" s="35" t="str">
        <f t="shared" si="7"/>
        <v/>
      </c>
      <c r="O10" s="35" t="str">
        <f t="shared" si="8"/>
        <v/>
      </c>
      <c r="P10" s="35" t="str">
        <f t="shared" si="9"/>
        <v/>
      </c>
      <c r="Q10" s="35">
        <f>IF(J10&lt;$K$4,1.65,IF(J10&lt;$K$5,2.8,3.72))</f>
        <v>1.65</v>
      </c>
      <c r="R10" s="35">
        <f>IF(F$6&lt;$K$1,8.6,7.45)</f>
        <v>8.6</v>
      </c>
      <c r="S10" s="33">
        <f t="shared" ref="S10:S12" si="11">IF(C10&gt;0,T9+1,0)</f>
        <v>0</v>
      </c>
      <c r="T10" s="33">
        <f>IF(C10&gt;0,T9+1,T9)</f>
        <v>0</v>
      </c>
      <c r="U10" s="33" t="str">
        <f>IF(S10&gt;0,A10,"")</f>
        <v/>
      </c>
      <c r="V10" s="33" t="str">
        <f>IF(S10&gt;0,C10,"")</f>
        <v/>
      </c>
      <c r="W10" s="42" t="str">
        <f>IF(S10&gt;0,F10,"")</f>
        <v/>
      </c>
      <c r="X10" s="1" t="str">
        <f t="shared" si="1"/>
        <v/>
      </c>
    </row>
    <row r="11" spans="1:24" ht="15" x14ac:dyDescent="0.25">
      <c r="A11" s="3">
        <v>17377648</v>
      </c>
      <c r="B11" s="3" t="s">
        <v>5</v>
      </c>
      <c r="C11" s="46"/>
      <c r="D11" s="32">
        <f t="shared" si="2"/>
        <v>0</v>
      </c>
      <c r="E11" s="32">
        <f t="shared" ref="E11:E12" si="12">E10+C11</f>
        <v>0</v>
      </c>
      <c r="F11" s="11" t="str">
        <f t="shared" ref="F11" si="13">IF(AND(C11&gt;0,X11="",J11&gt;=$K$3), N11+O11+P11, "")</f>
        <v/>
      </c>
      <c r="G11" s="33">
        <f>IF(E11&lt;100,C11,IF(E11-C11&gt;100,0,MIN(100-(E11-C11))))</f>
        <v>0</v>
      </c>
      <c r="H11" s="33">
        <f>IF(E11&lt;=100,0,IF(E11-C11&gt;150,0,MIN(150,E11)-MAX(100,E11-C11)))</f>
        <v>0</v>
      </c>
      <c r="I11" s="33">
        <f>IF(E11&lt;=150,0,E11-MAX(150,E11-C11))</f>
        <v>0</v>
      </c>
      <c r="J11" s="34">
        <f>F6</f>
        <v>0</v>
      </c>
      <c r="K11" s="33" t="str">
        <f t="shared" si="4"/>
        <v/>
      </c>
      <c r="L11" s="33" t="str">
        <f t="shared" si="5"/>
        <v/>
      </c>
      <c r="M11" s="33" t="str">
        <f t="shared" si="6"/>
        <v/>
      </c>
      <c r="N11" s="35" t="str">
        <f t="shared" ref="N11" si="14">IF($J11&lt;$K$3, "",G11*ROUND((K11+$Q11+$R11)*1.19,2))</f>
        <v/>
      </c>
      <c r="O11" s="35" t="str">
        <f t="shared" ref="O11" si="15">IF($J11&lt;$K$3, "",H11*ROUND((L11+$Q11+$R11)*1.19,2))</f>
        <v/>
      </c>
      <c r="P11" s="35" t="str">
        <f t="shared" ref="P11" si="16">IF($J11&lt;$K$3, "",I11*ROUND((M11+$Q11+$R11)*1.19,2))</f>
        <v/>
      </c>
      <c r="Q11" s="35">
        <f t="shared" si="10"/>
        <v>1.65</v>
      </c>
      <c r="R11" s="35">
        <f>IF(F$6&lt;$K$1,8.6,7.45)</f>
        <v>8.6</v>
      </c>
      <c r="S11" s="33">
        <f t="shared" si="11"/>
        <v>0</v>
      </c>
      <c r="T11" s="33">
        <f t="shared" ref="T11:T12" si="17">IF(C11&gt;0,T10+1,T10)</f>
        <v>0</v>
      </c>
      <c r="U11" s="33" t="str">
        <f>IF(S11&gt;0,A11,"")</f>
        <v/>
      </c>
      <c r="V11" s="33" t="str">
        <f>IF(S11&gt;0,C11,"")</f>
        <v/>
      </c>
      <c r="W11" s="42" t="str">
        <f>IF(S11&gt;0,F11,"")</f>
        <v/>
      </c>
      <c r="X11" s="1" t="str">
        <f>IF(AND(C11&lt;&gt;0,T11&gt;3),"Es dürfen maximal 3 Positionen auf einem Rezept gedruckt werden!","")</f>
        <v/>
      </c>
    </row>
    <row r="12" spans="1:24" x14ac:dyDescent="0.3">
      <c r="A12" s="3">
        <v>17895975</v>
      </c>
      <c r="B12" s="3" t="s">
        <v>55</v>
      </c>
      <c r="C12" s="46"/>
      <c r="D12" s="32">
        <f t="shared" si="2"/>
        <v>0</v>
      </c>
      <c r="E12" s="32">
        <f t="shared" si="12"/>
        <v>0</v>
      </c>
      <c r="F12" s="11" t="str">
        <f t="shared" si="3"/>
        <v/>
      </c>
      <c r="G12" s="33">
        <f>IF(E12&lt;100,C12,IF(E12-C12&gt;100,0,MIN(100-(E12-C12))))</f>
        <v>0</v>
      </c>
      <c r="H12" s="33">
        <f>IF(E12&lt;=100,0,IF(E12-C12&gt;150,0,MIN(150,E12)-MAX(100,E12-C12)))</f>
        <v>0</v>
      </c>
      <c r="I12" s="33">
        <f>IF(E12&lt;=150,0,E12-MAX(150,E12-C12))</f>
        <v>0</v>
      </c>
      <c r="J12" s="34">
        <f>F6</f>
        <v>0</v>
      </c>
      <c r="K12" s="33" t="str">
        <f t="shared" si="4"/>
        <v/>
      </c>
      <c r="L12" s="33" t="str">
        <f t="shared" si="5"/>
        <v/>
      </c>
      <c r="M12" s="33" t="str">
        <f t="shared" si="6"/>
        <v/>
      </c>
      <c r="N12" s="35" t="str">
        <f t="shared" si="7"/>
        <v/>
      </c>
      <c r="O12" s="35" t="str">
        <f t="shared" si="8"/>
        <v/>
      </c>
      <c r="P12" s="35" t="str">
        <f t="shared" si="9"/>
        <v/>
      </c>
      <c r="Q12" s="35">
        <f t="shared" si="10"/>
        <v>1.65</v>
      </c>
      <c r="R12" s="35">
        <f>IF(F$6&lt;$K$1,8.6,7.45)</f>
        <v>8.6</v>
      </c>
      <c r="S12" s="33">
        <f t="shared" si="11"/>
        <v>0</v>
      </c>
      <c r="T12" s="33">
        <f t="shared" si="17"/>
        <v>0</v>
      </c>
      <c r="U12" s="33" t="str">
        <f>IF(S12&gt;0,A12,"")</f>
        <v/>
      </c>
      <c r="V12" s="33" t="str">
        <f>IF(S12&gt;0,C12,"")</f>
        <v/>
      </c>
      <c r="W12" s="42" t="str">
        <f>IF(S12&gt;0,F12,"")</f>
        <v/>
      </c>
      <c r="X12" s="1" t="str">
        <f>IF(AND(C12&lt;&gt;0,T12&gt;3),"Es dürfen maximal 3 Positionen auf einem Rezept gedruckt werden!","")</f>
        <v/>
      </c>
    </row>
    <row r="13" spans="1:24" ht="15" x14ac:dyDescent="0.25">
      <c r="A13" s="3"/>
      <c r="B13" s="2" t="s">
        <v>7</v>
      </c>
      <c r="C13" s="8">
        <f>SUM(C8:C12)</f>
        <v>0</v>
      </c>
      <c r="D13" s="32"/>
      <c r="E13" s="32"/>
      <c r="F13" s="11">
        <f>SUM(F8:F12)</f>
        <v>0</v>
      </c>
      <c r="X13" s="1"/>
    </row>
    <row r="14" spans="1:24" ht="15" x14ac:dyDescent="0.25">
      <c r="A14" s="1"/>
      <c r="B14" s="1"/>
      <c r="C14" s="7"/>
      <c r="F14" s="7"/>
      <c r="X14" s="1"/>
    </row>
    <row r="15" spans="1:24" ht="15.75" x14ac:dyDescent="0.25">
      <c r="A15" s="50" t="s">
        <v>24</v>
      </c>
      <c r="B15" s="50"/>
      <c r="C15" s="6" t="s">
        <v>17</v>
      </c>
      <c r="D15" s="29"/>
      <c r="E15" s="30"/>
      <c r="F15" s="47"/>
      <c r="X15" s="1" t="str">
        <f>IF(F15&lt;$K$3, "Eine Belieferung der Ärzte kann erst ab dem 31.05.2021 erfolgen", "")</f>
        <v>Eine Belieferung der Ärzte kann erst ab dem 31.05.2021 erfolgen</v>
      </c>
    </row>
    <row r="16" spans="1:24" s="10" customFormat="1" ht="15" x14ac:dyDescent="0.25">
      <c r="A16" s="2" t="s">
        <v>0</v>
      </c>
      <c r="B16" s="2" t="s">
        <v>6</v>
      </c>
      <c r="C16" s="2" t="s">
        <v>1</v>
      </c>
      <c r="D16" s="31" t="s">
        <v>43</v>
      </c>
      <c r="E16" s="31" t="s">
        <v>44</v>
      </c>
      <c r="F16" s="2" t="s">
        <v>2</v>
      </c>
      <c r="G16" s="41"/>
      <c r="H16" s="41"/>
      <c r="I16" s="41"/>
      <c r="J16" s="41"/>
      <c r="K16" s="41"/>
      <c r="L16" s="41"/>
      <c r="M16" s="41"/>
      <c r="N16" s="43"/>
      <c r="O16" s="43"/>
      <c r="P16" s="43"/>
      <c r="Q16" s="43"/>
      <c r="R16" s="43"/>
      <c r="S16" s="41"/>
      <c r="T16" s="41"/>
      <c r="U16" s="41"/>
      <c r="V16" s="41"/>
      <c r="W16" s="41"/>
      <c r="X16" s="44"/>
    </row>
    <row r="17" spans="1:24" ht="15" x14ac:dyDescent="0.25">
      <c r="A17" s="3">
        <v>17377625</v>
      </c>
      <c r="B17" s="3" t="s">
        <v>3</v>
      </c>
      <c r="C17" s="46"/>
      <c r="D17" s="32">
        <f>ROUND(C17,0)</f>
        <v>0</v>
      </c>
      <c r="E17" s="32">
        <f>E12+C17</f>
        <v>0</v>
      </c>
      <c r="F17" s="11" t="str">
        <f>IF(AND(C17&gt;0,X17="",J17&gt;=$K$3), N17+O17+P17, "")</f>
        <v/>
      </c>
      <c r="G17" s="33">
        <f>IF(E17&lt;100,C17,IF(E17-C17&gt;100,0,MIN(100-(E17-C17))))</f>
        <v>0</v>
      </c>
      <c r="H17" s="33">
        <f>IF(E17&lt;=100,0,IF(E17-C17&gt;150,0,MIN(150,E17)-MAX(100,E17-C17)))</f>
        <v>0</v>
      </c>
      <c r="I17" s="33">
        <f>IF(E17&lt;=150,0,E17-MAX(150,E17-C17))</f>
        <v>0</v>
      </c>
      <c r="J17" s="34">
        <f>F15</f>
        <v>0</v>
      </c>
      <c r="K17" s="33" t="str">
        <f>IF($J17&lt;$K$3, "", IF($J17&lt;$K$2,6.58,7.58))</f>
        <v/>
      </c>
      <c r="L17" s="33" t="str">
        <f>IF($J17&lt;$K$3, "", IF($J17&lt;$K$2,4.28,4.92))</f>
        <v/>
      </c>
      <c r="M17" s="33" t="str">
        <f>IF($J17&lt;$K$3, "", IF($J17&lt;$K$2,2.19,2.52))</f>
        <v/>
      </c>
      <c r="N17" s="35" t="str">
        <f>IF($J17&lt;$K$3, "",G17*ROUND((K17+$Q17+$R17)*1.19,2))</f>
        <v/>
      </c>
      <c r="O17" s="35" t="str">
        <f t="shared" ref="O17:O21" si="18">IF($J17&lt;$K$3, "",H17*ROUND((L17+$Q17+$R17)*1.19,2))</f>
        <v/>
      </c>
      <c r="P17" s="35" t="str">
        <f t="shared" ref="P17:P21" si="19">IF($J17&lt;$K$3, "",I17*ROUND((M17+$Q17+$R17)*1.19,2))</f>
        <v/>
      </c>
      <c r="Q17" s="35">
        <f>IF(J17&lt;$K$4,1.65,IF(J17&lt;$K$5,1.4,3.72))</f>
        <v>1.65</v>
      </c>
      <c r="R17" s="35">
        <f>IF(F$15&lt;$K$1,8.6,7.45)</f>
        <v>8.6</v>
      </c>
      <c r="S17" s="33">
        <f>IF(C17&gt;0,1,0)</f>
        <v>0</v>
      </c>
      <c r="T17" s="33">
        <f>S17</f>
        <v>0</v>
      </c>
      <c r="U17" s="33" t="str">
        <f>IF(S17&gt;0,A17,"")</f>
        <v/>
      </c>
      <c r="V17" s="33" t="str">
        <f>IF(S17&gt;0,C17,"")</f>
        <v/>
      </c>
      <c r="W17" s="42" t="str">
        <f>IF(S17&gt;0,F17,"")</f>
        <v/>
      </c>
      <c r="X17" s="1" t="str">
        <f t="shared" ref="X17:X19" si="20">IF(AND(C17&lt;&gt;0,T17&gt;3),"Es dürfen maximal 3 Positionen auf einem Rezept gedruckt werden!","")</f>
        <v/>
      </c>
    </row>
    <row r="18" spans="1:24" ht="15" x14ac:dyDescent="0.25">
      <c r="A18" s="3">
        <v>17377588</v>
      </c>
      <c r="B18" s="3" t="s">
        <v>4</v>
      </c>
      <c r="C18" s="46"/>
      <c r="D18" s="32">
        <f t="shared" ref="D18:D21" si="21">ROUND(C18,0)</f>
        <v>0</v>
      </c>
      <c r="E18" s="32">
        <f>E17+C18</f>
        <v>0</v>
      </c>
      <c r="F18" s="11" t="str">
        <f t="shared" ref="F18:F21" si="22">IF(AND(C18&gt;0,X18="",J18&gt;=$K$3), N18+O18+P18, "")</f>
        <v/>
      </c>
      <c r="G18" s="33">
        <f>IF(E18&lt;100,C18,IF(E18-C18&gt;100,0,MIN(100-(E18-C18))))</f>
        <v>0</v>
      </c>
      <c r="H18" s="33">
        <f>IF(E18&lt;=100,0,IF(E18-C18&gt;150,0,MIN(150,E18)-MAX(100,E18-C18)))</f>
        <v>0</v>
      </c>
      <c r="I18" s="33">
        <f>IF(E18&lt;=150,0,E18-MAX(150,E18-C18))</f>
        <v>0</v>
      </c>
      <c r="J18" s="34">
        <f>F15</f>
        <v>0</v>
      </c>
      <c r="K18" s="33" t="str">
        <f t="shared" ref="K18:K21" si="23">IF($J18&lt;$K$3, "", IF($J18&lt;$K$2,6.58,7.58))</f>
        <v/>
      </c>
      <c r="L18" s="33" t="str">
        <f t="shared" ref="L18:L21" si="24">IF($J18&lt;$K$3, "", IF($J18&lt;$K$2,4.28,4.92))</f>
        <v/>
      </c>
      <c r="M18" s="33" t="str">
        <f t="shared" ref="M18:M21" si="25">IF($J18&lt;$K$3, "", IF($J18&lt;$K$2,2.19,2.52))</f>
        <v/>
      </c>
      <c r="N18" s="35" t="str">
        <f t="shared" ref="N18:N21" si="26">IF($J18&lt;$K$3, "",G18*ROUND((K18+$Q18+$R18)*1.19,2))</f>
        <v/>
      </c>
      <c r="O18" s="35" t="str">
        <f t="shared" si="18"/>
        <v/>
      </c>
      <c r="P18" s="35" t="str">
        <f t="shared" si="19"/>
        <v/>
      </c>
      <c r="Q18" s="35">
        <f t="shared" ref="Q18:Q21" si="27">IF(J18&lt;$K$4,1.65,IF(J18&lt;$K$5,1.4,3.72))</f>
        <v>1.65</v>
      </c>
      <c r="R18" s="35">
        <f>IF(F$15&lt;$K$1,8.6,7.45)</f>
        <v>8.6</v>
      </c>
      <c r="S18" s="33">
        <f>IF(C18&gt;0,T17+1,0)</f>
        <v>0</v>
      </c>
      <c r="T18" s="33">
        <f>IF(C18&gt;0,T17+1,T17)</f>
        <v>0</v>
      </c>
      <c r="U18" s="33" t="str">
        <f>IF(S18&gt;0,A18,"")</f>
        <v/>
      </c>
      <c r="V18" s="33" t="str">
        <f>IF(S18&gt;0,C18,"")</f>
        <v/>
      </c>
      <c r="W18" s="42" t="str">
        <f>IF(S18&gt;0,F18,"")</f>
        <v/>
      </c>
      <c r="X18" s="1" t="str">
        <f t="shared" si="20"/>
        <v/>
      </c>
    </row>
    <row r="19" spans="1:24" ht="15" x14ac:dyDescent="0.25">
      <c r="A19" s="3">
        <v>17377602</v>
      </c>
      <c r="B19" s="3" t="s">
        <v>51</v>
      </c>
      <c r="C19" s="46"/>
      <c r="D19" s="32">
        <f t="shared" si="21"/>
        <v>0</v>
      </c>
      <c r="E19" s="32">
        <f>E18+C19</f>
        <v>0</v>
      </c>
      <c r="F19" s="11" t="str">
        <f t="shared" si="22"/>
        <v/>
      </c>
      <c r="G19" s="33">
        <f>IF(E19&lt;100,C19,IF(E19-C19&gt;100,0,MIN(100-(E19-C19))))</f>
        <v>0</v>
      </c>
      <c r="H19" s="33">
        <f>IF(E19&lt;=100,0,IF(E19-C19&gt;150,0,MIN(150,E19)-MAX(100,E19-C19)))</f>
        <v>0</v>
      </c>
      <c r="I19" s="33">
        <f>IF(E19&lt;=150,0,E19-MAX(150,E19-C19))</f>
        <v>0</v>
      </c>
      <c r="J19" s="34">
        <f>F15</f>
        <v>0</v>
      </c>
      <c r="K19" s="33" t="str">
        <f t="shared" si="23"/>
        <v/>
      </c>
      <c r="L19" s="33" t="str">
        <f t="shared" si="24"/>
        <v/>
      </c>
      <c r="M19" s="33" t="str">
        <f t="shared" si="25"/>
        <v/>
      </c>
      <c r="N19" s="35" t="str">
        <f t="shared" si="26"/>
        <v/>
      </c>
      <c r="O19" s="35" t="str">
        <f t="shared" si="18"/>
        <v/>
      </c>
      <c r="P19" s="35" t="str">
        <f t="shared" si="19"/>
        <v/>
      </c>
      <c r="Q19" s="35">
        <f>IF(J19&lt;$K$4,1.65,IF(J19&lt;$K$5,2.8,3.72))</f>
        <v>1.65</v>
      </c>
      <c r="R19" s="35">
        <f>IF(F$15&lt;$K$1,8.6,7.45)</f>
        <v>8.6</v>
      </c>
      <c r="S19" s="33">
        <f t="shared" ref="S19:S21" si="28">IF(C19&gt;0,T18+1,0)</f>
        <v>0</v>
      </c>
      <c r="T19" s="33">
        <f t="shared" ref="T19:T21" si="29">IF(C19&gt;0,T18+1,T18)</f>
        <v>0</v>
      </c>
      <c r="U19" s="33" t="str">
        <f>IF(S19&gt;0,A19,"")</f>
        <v/>
      </c>
      <c r="V19" s="33" t="str">
        <f>IF(S19&gt;0,C19,"")</f>
        <v/>
      </c>
      <c r="W19" s="42" t="str">
        <f>IF(S19&gt;0,F19,"")</f>
        <v/>
      </c>
      <c r="X19" s="1" t="str">
        <f t="shared" si="20"/>
        <v/>
      </c>
    </row>
    <row r="20" spans="1:24" ht="15" x14ac:dyDescent="0.25">
      <c r="A20" s="3">
        <v>17377648</v>
      </c>
      <c r="B20" s="3" t="s">
        <v>5</v>
      </c>
      <c r="C20" s="46"/>
      <c r="D20" s="32">
        <f t="shared" si="21"/>
        <v>0</v>
      </c>
      <c r="E20" s="32">
        <f>E19+C20</f>
        <v>0</v>
      </c>
      <c r="F20" s="11" t="str">
        <f t="shared" si="22"/>
        <v/>
      </c>
      <c r="G20" s="33">
        <f>IF(E20&lt;100,C20,IF(E20-C20&gt;100,0,MIN(100-(E20-C20))))</f>
        <v>0</v>
      </c>
      <c r="H20" s="33">
        <f>IF(E20&lt;=100,0,IF(E20-C20&gt;150,0,MIN(150,E20)-MAX(100,E20-C20)))</f>
        <v>0</v>
      </c>
      <c r="I20" s="33">
        <f>IF(E20&lt;=150,0,E20-MAX(150,E20-C20))</f>
        <v>0</v>
      </c>
      <c r="J20" s="34">
        <f>F15</f>
        <v>0</v>
      </c>
      <c r="K20" s="33" t="str">
        <f t="shared" si="23"/>
        <v/>
      </c>
      <c r="L20" s="33" t="str">
        <f t="shared" si="24"/>
        <v/>
      </c>
      <c r="M20" s="33" t="str">
        <f t="shared" si="25"/>
        <v/>
      </c>
      <c r="N20" s="35" t="str">
        <f t="shared" si="26"/>
        <v/>
      </c>
      <c r="O20" s="35" t="str">
        <f t="shared" si="18"/>
        <v/>
      </c>
      <c r="P20" s="35" t="str">
        <f t="shared" si="19"/>
        <v/>
      </c>
      <c r="Q20" s="35">
        <f t="shared" si="27"/>
        <v>1.65</v>
      </c>
      <c r="R20" s="35">
        <f>IF(F$15&lt;$K$1,8.6,7.45)</f>
        <v>8.6</v>
      </c>
      <c r="S20" s="33">
        <f t="shared" si="28"/>
        <v>0</v>
      </c>
      <c r="T20" s="33">
        <f t="shared" si="29"/>
        <v>0</v>
      </c>
      <c r="U20" s="33" t="str">
        <f>IF(S20&gt;0,A20,"")</f>
        <v/>
      </c>
      <c r="V20" s="33" t="str">
        <f>IF(S20&gt;0,C20,"")</f>
        <v/>
      </c>
      <c r="W20" s="42" t="str">
        <f>IF(S20&gt;0,F20,"")</f>
        <v/>
      </c>
      <c r="X20" s="1" t="str">
        <f>IF(AND(C20&lt;&gt;0,T20&gt;3),"Es dürfen maximal 3 Positionen auf einem Rezept gedruckt werden!","")</f>
        <v/>
      </c>
    </row>
    <row r="21" spans="1:24" x14ac:dyDescent="0.3">
      <c r="A21" s="3">
        <v>17895975</v>
      </c>
      <c r="B21" s="3" t="s">
        <v>55</v>
      </c>
      <c r="C21" s="46"/>
      <c r="D21" s="32">
        <f t="shared" si="21"/>
        <v>0</v>
      </c>
      <c r="E21" s="32">
        <f t="shared" ref="E21" si="30">E20+C21</f>
        <v>0</v>
      </c>
      <c r="F21" s="11" t="str">
        <f t="shared" si="22"/>
        <v/>
      </c>
      <c r="G21" s="33">
        <f>IF(E21&lt;100,C21,IF(E21-C21&gt;100,0,MIN(100-(E21-C21))))</f>
        <v>0</v>
      </c>
      <c r="H21" s="33">
        <f>IF(E21&lt;=100,0,IF(E21-C21&gt;150,0,MIN(150,E21)-MAX(100,E21-C21)))</f>
        <v>0</v>
      </c>
      <c r="I21" s="33">
        <f>IF(E21&lt;=150,0,E21-MAX(150,E21-C21))</f>
        <v>0</v>
      </c>
      <c r="J21" s="34">
        <f>F15</f>
        <v>0</v>
      </c>
      <c r="K21" s="33" t="str">
        <f t="shared" si="23"/>
        <v/>
      </c>
      <c r="L21" s="33" t="str">
        <f t="shared" si="24"/>
        <v/>
      </c>
      <c r="M21" s="33" t="str">
        <f t="shared" si="25"/>
        <v/>
      </c>
      <c r="N21" s="35" t="str">
        <f t="shared" si="26"/>
        <v/>
      </c>
      <c r="O21" s="35" t="str">
        <f t="shared" si="18"/>
        <v/>
      </c>
      <c r="P21" s="35" t="str">
        <f t="shared" si="19"/>
        <v/>
      </c>
      <c r="Q21" s="35">
        <f t="shared" si="27"/>
        <v>1.65</v>
      </c>
      <c r="R21" s="35">
        <f>IF(F$6&lt;$K$1,8.6,7.45)</f>
        <v>8.6</v>
      </c>
      <c r="S21" s="33">
        <f t="shared" si="28"/>
        <v>0</v>
      </c>
      <c r="T21" s="33">
        <f t="shared" si="29"/>
        <v>0</v>
      </c>
      <c r="U21" s="33" t="str">
        <f>IF(S21&gt;0,A21,"")</f>
        <v/>
      </c>
      <c r="V21" s="33" t="str">
        <f>IF(S21&gt;0,C21,"")</f>
        <v/>
      </c>
      <c r="W21" s="42" t="str">
        <f>IF(S21&gt;0,F21,"")</f>
        <v/>
      </c>
      <c r="X21" s="1" t="str">
        <f>IF(AND(C21&lt;&gt;0,T21&gt;3),"Es dürfen maximal 3 Positionen auf einem Rezept gedruckt werden!","")</f>
        <v/>
      </c>
    </row>
    <row r="22" spans="1:24" ht="15" x14ac:dyDescent="0.25">
      <c r="A22" s="3"/>
      <c r="B22" s="2" t="s">
        <v>7</v>
      </c>
      <c r="C22" s="8">
        <f>SUM(C17:C21)</f>
        <v>0</v>
      </c>
      <c r="D22" s="32"/>
      <c r="E22" s="32"/>
      <c r="F22" s="11">
        <f>SUM(F17:F21)</f>
        <v>0</v>
      </c>
      <c r="X22" s="1"/>
    </row>
    <row r="23" spans="1:24" ht="15" x14ac:dyDescent="0.25">
      <c r="A23" s="1"/>
      <c r="B23" s="1"/>
      <c r="C23" s="7"/>
      <c r="F23" s="7"/>
      <c r="X23" s="1"/>
    </row>
    <row r="24" spans="1:24" ht="15.75" x14ac:dyDescent="0.25">
      <c r="A24" s="50" t="s">
        <v>25</v>
      </c>
      <c r="B24" s="50"/>
      <c r="C24" s="6" t="s">
        <v>17</v>
      </c>
      <c r="D24" s="29"/>
      <c r="E24" s="30"/>
      <c r="F24" s="47"/>
      <c r="X24" s="1" t="str">
        <f>IF(F24&lt;$K$3, "Eine Belieferung der Ärzte kann erst ab dem 31.05.2021 erfolgen", "")</f>
        <v>Eine Belieferung der Ärzte kann erst ab dem 31.05.2021 erfolgen</v>
      </c>
    </row>
    <row r="25" spans="1:24" s="10" customFormat="1" ht="15" x14ac:dyDescent="0.25">
      <c r="A25" s="2" t="s">
        <v>0</v>
      </c>
      <c r="B25" s="2" t="s">
        <v>6</v>
      </c>
      <c r="C25" s="2" t="s">
        <v>1</v>
      </c>
      <c r="D25" s="31" t="s">
        <v>43</v>
      </c>
      <c r="E25" s="31" t="s">
        <v>44</v>
      </c>
      <c r="F25" s="2" t="s">
        <v>2</v>
      </c>
      <c r="G25" s="41"/>
      <c r="H25" s="41"/>
      <c r="I25" s="41"/>
      <c r="J25" s="41"/>
      <c r="K25" s="41"/>
      <c r="L25" s="41"/>
      <c r="M25" s="41"/>
      <c r="N25" s="43"/>
      <c r="O25" s="43"/>
      <c r="P25" s="43"/>
      <c r="Q25" s="43"/>
      <c r="R25" s="43"/>
      <c r="S25" s="41"/>
      <c r="T25" s="41"/>
      <c r="U25" s="41"/>
      <c r="V25" s="41"/>
      <c r="W25" s="41"/>
      <c r="X25" s="44"/>
    </row>
    <row r="26" spans="1:24" ht="15" x14ac:dyDescent="0.25">
      <c r="A26" s="3">
        <v>17377625</v>
      </c>
      <c r="B26" s="3" t="s">
        <v>3</v>
      </c>
      <c r="C26" s="46"/>
      <c r="D26" s="32">
        <f>ROUND(C26,0)</f>
        <v>0</v>
      </c>
      <c r="E26" s="32">
        <f>E21+C26</f>
        <v>0</v>
      </c>
      <c r="F26" s="11" t="str">
        <f>IF(AND(C26&gt;0,X26="",J26&gt;=$K$3), N26+O26+P26, "")</f>
        <v/>
      </c>
      <c r="G26" s="33">
        <f>IF(E26&lt;100,C26,IF(E26-C26&gt;100,0,MIN(100-(E26-C26))))</f>
        <v>0</v>
      </c>
      <c r="H26" s="33">
        <f>IF(E26&lt;=100,0,IF(E26-C26&gt;150,0,MIN(150,E26)-MAX(100,E26-C26)))</f>
        <v>0</v>
      </c>
      <c r="I26" s="33">
        <f>IF(E26&lt;=150,0,E26-MAX(150,E26-C26))</f>
        <v>0</v>
      </c>
      <c r="J26" s="34">
        <f>F24</f>
        <v>0</v>
      </c>
      <c r="K26" s="33" t="str">
        <f>IF($J26&lt;$K$3, "", IF($J26&lt;$K$2,6.58,7.58))</f>
        <v/>
      </c>
      <c r="L26" s="33" t="str">
        <f>IF($J26&lt;$K$3, "", IF($J26&lt;$K$2,4.28,4.92))</f>
        <v/>
      </c>
      <c r="M26" s="33" t="str">
        <f>IF($J26&lt;$K$3, "", IF($J26&lt;$K$2,2.19,2.52))</f>
        <v/>
      </c>
      <c r="N26" s="35" t="str">
        <f>IF($J26&lt;$K$3, "",G26*ROUND((K26+$Q26+$R26)*1.19,2))</f>
        <v/>
      </c>
      <c r="O26" s="35" t="str">
        <f t="shared" ref="O26:O30" si="31">IF($J26&lt;$K$3, "",H26*ROUND((L26+$Q26+$R26)*1.19,2))</f>
        <v/>
      </c>
      <c r="P26" s="35" t="str">
        <f t="shared" ref="P26:P30" si="32">IF($J26&lt;$K$3, "",I26*ROUND((M26+$Q26+$R26)*1.19,2))</f>
        <v/>
      </c>
      <c r="Q26" s="35">
        <f>IF(J26&lt;$K$4,1.65,IF(J26&lt;$K$5,1.4,3.72))</f>
        <v>1.65</v>
      </c>
      <c r="R26" s="35">
        <f>IF(F$24&lt;$K$1,8.6,7.45)</f>
        <v>8.6</v>
      </c>
      <c r="S26" s="33">
        <f>IF(C26&gt;0,1,0)</f>
        <v>0</v>
      </c>
      <c r="T26" s="33">
        <f>S26</f>
        <v>0</v>
      </c>
      <c r="U26" s="33" t="str">
        <f>IF(S26&gt;0,A26,"")</f>
        <v/>
      </c>
      <c r="V26" s="33" t="str">
        <f>IF(S26&gt;0,C26,"")</f>
        <v/>
      </c>
      <c r="W26" s="42" t="str">
        <f>IF(S26&gt;0,F26,"")</f>
        <v/>
      </c>
      <c r="X26" s="1" t="str">
        <f t="shared" ref="X26:X28" si="33">IF(AND(C26&lt;&gt;0,T26&gt;3),"Es dürfen maximal 3 Positionen auf einem Rezept gedruckt werden!","")</f>
        <v/>
      </c>
    </row>
    <row r="27" spans="1:24" ht="15" x14ac:dyDescent="0.25">
      <c r="A27" s="3">
        <v>17377588</v>
      </c>
      <c r="B27" s="3" t="s">
        <v>4</v>
      </c>
      <c r="C27" s="46"/>
      <c r="D27" s="32">
        <f t="shared" ref="D27:D30" si="34">ROUND(C27,0)</f>
        <v>0</v>
      </c>
      <c r="E27" s="32">
        <f>E26+C27</f>
        <v>0</v>
      </c>
      <c r="F27" s="11" t="str">
        <f t="shared" ref="F27:F30" si="35">IF(AND(C27&gt;0,X27="",J27&gt;=$K$3), N27+O27+P27, "")</f>
        <v/>
      </c>
      <c r="G27" s="33">
        <f>IF(E27&lt;100,C27,IF(E27-C27&gt;100,0,MIN(100-(E27-C27))))</f>
        <v>0</v>
      </c>
      <c r="H27" s="33">
        <f>IF(E27&lt;=100,0,IF(E27-C27&gt;150,0,MIN(150,E27)-MAX(100,E27-C27)))</f>
        <v>0</v>
      </c>
      <c r="I27" s="33">
        <f>IF(E27&lt;=150,0,E27-MAX(150,E27-C27))</f>
        <v>0</v>
      </c>
      <c r="J27" s="34">
        <f>F24</f>
        <v>0</v>
      </c>
      <c r="K27" s="33" t="str">
        <f t="shared" ref="K27:K30" si="36">IF($J27&lt;$K$3, "", IF($J27&lt;$K$2,6.58,7.58))</f>
        <v/>
      </c>
      <c r="L27" s="33" t="str">
        <f t="shared" ref="L27:L30" si="37">IF($J27&lt;$K$3, "", IF($J27&lt;$K$2,4.28,4.92))</f>
        <v/>
      </c>
      <c r="M27" s="33" t="str">
        <f t="shared" ref="M27:M30" si="38">IF($J27&lt;$K$3, "", IF($J27&lt;$K$2,2.19,2.52))</f>
        <v/>
      </c>
      <c r="N27" s="35" t="str">
        <f t="shared" ref="N27:N30" si="39">IF($J27&lt;$K$3, "",G27*ROUND((K27+$Q27+$R27)*1.19,2))</f>
        <v/>
      </c>
      <c r="O27" s="35" t="str">
        <f t="shared" si="31"/>
        <v/>
      </c>
      <c r="P27" s="35" t="str">
        <f t="shared" si="32"/>
        <v/>
      </c>
      <c r="Q27" s="35">
        <f t="shared" ref="Q27:Q30" si="40">IF(J27&lt;$K$4,1.65,IF(J27&lt;$K$5,1.4,3.72))</f>
        <v>1.65</v>
      </c>
      <c r="R27" s="35">
        <f>IF(F$24&lt;$K$1,8.6,7.45)</f>
        <v>8.6</v>
      </c>
      <c r="S27" s="33">
        <f>IF(C27&gt;0,T26+1,0)</f>
        <v>0</v>
      </c>
      <c r="T27" s="33">
        <f>IF(C27&gt;0,T26+1,T26)</f>
        <v>0</v>
      </c>
      <c r="U27" s="33" t="str">
        <f>IF(S27&gt;0,A27,"")</f>
        <v/>
      </c>
      <c r="V27" s="33" t="str">
        <f>IF(S27&gt;0,C27,"")</f>
        <v/>
      </c>
      <c r="W27" s="42" t="str">
        <f>IF(S27&gt;0,F27,"")</f>
        <v/>
      </c>
      <c r="X27" s="1" t="str">
        <f t="shared" si="33"/>
        <v/>
      </c>
    </row>
    <row r="28" spans="1:24" ht="15" x14ac:dyDescent="0.25">
      <c r="A28" s="3">
        <v>17377602</v>
      </c>
      <c r="B28" s="3" t="s">
        <v>51</v>
      </c>
      <c r="C28" s="46"/>
      <c r="D28" s="32">
        <f t="shared" si="34"/>
        <v>0</v>
      </c>
      <c r="E28" s="32">
        <f>E27+C28</f>
        <v>0</v>
      </c>
      <c r="F28" s="11" t="str">
        <f t="shared" si="35"/>
        <v/>
      </c>
      <c r="G28" s="33">
        <f>IF(E28&lt;100,C28,IF(E28-C28&gt;100,0,MIN(100-(E28-C28))))</f>
        <v>0</v>
      </c>
      <c r="H28" s="33">
        <f>IF(E28&lt;=100,0,IF(E28-C28&gt;150,0,MIN(150,E28)-MAX(100,E28-C28)))</f>
        <v>0</v>
      </c>
      <c r="I28" s="33">
        <f>IF(E28&lt;=150,0,E28-MAX(150,E28-C28))</f>
        <v>0</v>
      </c>
      <c r="J28" s="34">
        <f>F24</f>
        <v>0</v>
      </c>
      <c r="K28" s="33" t="str">
        <f t="shared" si="36"/>
        <v/>
      </c>
      <c r="L28" s="33" t="str">
        <f t="shared" si="37"/>
        <v/>
      </c>
      <c r="M28" s="33" t="str">
        <f t="shared" si="38"/>
        <v/>
      </c>
      <c r="N28" s="35" t="str">
        <f t="shared" si="39"/>
        <v/>
      </c>
      <c r="O28" s="35" t="str">
        <f t="shared" si="31"/>
        <v/>
      </c>
      <c r="P28" s="35" t="str">
        <f t="shared" si="32"/>
        <v/>
      </c>
      <c r="Q28" s="35">
        <f>IF(J28&lt;$K$4,1.65,IF(J28&lt;$K$5,2.8,3.72))</f>
        <v>1.65</v>
      </c>
      <c r="R28" s="35">
        <f>IF(F$24&lt;$K$1,8.6,7.45)</f>
        <v>8.6</v>
      </c>
      <c r="S28" s="33">
        <f t="shared" ref="S28:S30" si="41">IF(C28&gt;0,T27+1,0)</f>
        <v>0</v>
      </c>
      <c r="T28" s="33">
        <f t="shared" ref="T28:T30" si="42">IF(C28&gt;0,T27+1,T27)</f>
        <v>0</v>
      </c>
      <c r="U28" s="33" t="str">
        <f>IF(S28&gt;0,A28,"")</f>
        <v/>
      </c>
      <c r="V28" s="33" t="str">
        <f>IF(S28&gt;0,C28,"")</f>
        <v/>
      </c>
      <c r="W28" s="42" t="str">
        <f>IF(S28&gt;0,F28,"")</f>
        <v/>
      </c>
      <c r="X28" s="1" t="str">
        <f t="shared" si="33"/>
        <v/>
      </c>
    </row>
    <row r="29" spans="1:24" ht="15" x14ac:dyDescent="0.25">
      <c r="A29" s="3">
        <v>17377648</v>
      </c>
      <c r="B29" s="3" t="s">
        <v>5</v>
      </c>
      <c r="C29" s="46"/>
      <c r="D29" s="32">
        <f t="shared" si="34"/>
        <v>0</v>
      </c>
      <c r="E29" s="32">
        <f>E28+C29</f>
        <v>0</v>
      </c>
      <c r="F29" s="11" t="str">
        <f t="shared" si="35"/>
        <v/>
      </c>
      <c r="G29" s="33">
        <f>IF(E29&lt;100,C29,IF(E29-C29&gt;100,0,MIN(100-(E29-C29))))</f>
        <v>0</v>
      </c>
      <c r="H29" s="33">
        <f>IF(E29&lt;=100,0,IF(E29-C29&gt;150,0,MIN(150,E29)-MAX(100,E29-C29)))</f>
        <v>0</v>
      </c>
      <c r="I29" s="33">
        <f>IF(E29&lt;=150,0,E29-MAX(150,E29-C29))</f>
        <v>0</v>
      </c>
      <c r="J29" s="34">
        <f>F24</f>
        <v>0</v>
      </c>
      <c r="K29" s="33" t="str">
        <f t="shared" si="36"/>
        <v/>
      </c>
      <c r="L29" s="33" t="str">
        <f t="shared" si="37"/>
        <v/>
      </c>
      <c r="M29" s="33" t="str">
        <f t="shared" si="38"/>
        <v/>
      </c>
      <c r="N29" s="35" t="str">
        <f t="shared" si="39"/>
        <v/>
      </c>
      <c r="O29" s="35" t="str">
        <f t="shared" si="31"/>
        <v/>
      </c>
      <c r="P29" s="35" t="str">
        <f t="shared" si="32"/>
        <v/>
      </c>
      <c r="Q29" s="35">
        <f t="shared" si="40"/>
        <v>1.65</v>
      </c>
      <c r="R29" s="35">
        <f>IF(F$24&lt;$K$1,8.6,7.45)</f>
        <v>8.6</v>
      </c>
      <c r="S29" s="33">
        <f t="shared" si="41"/>
        <v>0</v>
      </c>
      <c r="T29" s="33">
        <f t="shared" si="42"/>
        <v>0</v>
      </c>
      <c r="U29" s="33" t="str">
        <f>IF(S29&gt;0,A29,"")</f>
        <v/>
      </c>
      <c r="V29" s="33" t="str">
        <f>IF(S29&gt;0,C29,"")</f>
        <v/>
      </c>
      <c r="W29" s="42" t="str">
        <f>IF(S29&gt;0,F29,"")</f>
        <v/>
      </c>
      <c r="X29" s="1" t="str">
        <f>IF(AND(C29&lt;&gt;0,T29&gt;3),"Es dürfen maximal 3 Positionen auf einem Rezept gedruckt werden!","")</f>
        <v/>
      </c>
    </row>
    <row r="30" spans="1:24" x14ac:dyDescent="0.3">
      <c r="A30" s="3">
        <v>17895975</v>
      </c>
      <c r="B30" s="3" t="s">
        <v>55</v>
      </c>
      <c r="C30" s="46"/>
      <c r="D30" s="32">
        <f t="shared" si="34"/>
        <v>0</v>
      </c>
      <c r="E30" s="32">
        <f t="shared" ref="E30" si="43">E29+C30</f>
        <v>0</v>
      </c>
      <c r="F30" s="11" t="str">
        <f t="shared" si="35"/>
        <v/>
      </c>
      <c r="G30" s="33">
        <f>IF(E30&lt;100,C30,IF(E30-C30&gt;100,0,MIN(100-(E30-C30))))</f>
        <v>0</v>
      </c>
      <c r="H30" s="33">
        <f>IF(E30&lt;=100,0,IF(E30-C30&gt;150,0,MIN(150,E30)-MAX(100,E30-C30)))</f>
        <v>0</v>
      </c>
      <c r="I30" s="33">
        <f>IF(E30&lt;=150,0,E30-MAX(150,E30-C30))</f>
        <v>0</v>
      </c>
      <c r="J30" s="34">
        <f>F24</f>
        <v>0</v>
      </c>
      <c r="K30" s="33" t="str">
        <f t="shared" si="36"/>
        <v/>
      </c>
      <c r="L30" s="33" t="str">
        <f t="shared" si="37"/>
        <v/>
      </c>
      <c r="M30" s="33" t="str">
        <f t="shared" si="38"/>
        <v/>
      </c>
      <c r="N30" s="35" t="str">
        <f t="shared" si="39"/>
        <v/>
      </c>
      <c r="O30" s="35" t="str">
        <f t="shared" si="31"/>
        <v/>
      </c>
      <c r="P30" s="35" t="str">
        <f t="shared" si="32"/>
        <v/>
      </c>
      <c r="Q30" s="35">
        <f t="shared" si="40"/>
        <v>1.65</v>
      </c>
      <c r="R30" s="35">
        <f>IF(F$6&lt;$K$1,8.6,7.45)</f>
        <v>8.6</v>
      </c>
      <c r="S30" s="33">
        <f t="shared" si="41"/>
        <v>0</v>
      </c>
      <c r="T30" s="33">
        <f t="shared" si="42"/>
        <v>0</v>
      </c>
      <c r="U30" s="33" t="str">
        <f>IF(S30&gt;0,A30,"")</f>
        <v/>
      </c>
      <c r="V30" s="33" t="str">
        <f>IF(S30&gt;0,C30,"")</f>
        <v/>
      </c>
      <c r="W30" s="42" t="str">
        <f>IF(S30&gt;0,F30,"")</f>
        <v/>
      </c>
      <c r="X30" s="1" t="str">
        <f>IF(AND(C30&lt;&gt;0,T30&gt;3),"Es dürfen maximal 3 Positionen auf einem Rezept gedruckt werden!","")</f>
        <v/>
      </c>
    </row>
    <row r="31" spans="1:24" ht="15" x14ac:dyDescent="0.25">
      <c r="A31" s="3"/>
      <c r="B31" s="2" t="s">
        <v>7</v>
      </c>
      <c r="C31" s="8">
        <f>SUM(C26:C30)</f>
        <v>0</v>
      </c>
      <c r="D31" s="32"/>
      <c r="E31" s="32"/>
      <c r="F31" s="11">
        <f>SUM(F26:F30)</f>
        <v>0</v>
      </c>
      <c r="X31" s="1"/>
    </row>
    <row r="32" spans="1:24" ht="15" x14ac:dyDescent="0.25">
      <c r="A32" s="1"/>
      <c r="B32" s="1"/>
      <c r="C32" s="7"/>
      <c r="F32" s="7"/>
      <c r="X32" s="1"/>
    </row>
    <row r="33" spans="1:24" ht="15.75" x14ac:dyDescent="0.25">
      <c r="A33" s="50" t="s">
        <v>26</v>
      </c>
      <c r="B33" s="50"/>
      <c r="C33" s="6" t="s">
        <v>17</v>
      </c>
      <c r="D33" s="29"/>
      <c r="E33" s="30"/>
      <c r="F33" s="47"/>
      <c r="X33" s="1" t="str">
        <f>IF(F33&lt;$K$3, "Eine Belieferung der Ärzte kann erst ab dem 31.05.2021 erfolgen", "")</f>
        <v>Eine Belieferung der Ärzte kann erst ab dem 31.05.2021 erfolgen</v>
      </c>
    </row>
    <row r="34" spans="1:24" s="10" customFormat="1" ht="15" x14ac:dyDescent="0.25">
      <c r="A34" s="2" t="s">
        <v>0</v>
      </c>
      <c r="B34" s="2" t="s">
        <v>6</v>
      </c>
      <c r="C34" s="2" t="s">
        <v>1</v>
      </c>
      <c r="D34" s="31" t="s">
        <v>43</v>
      </c>
      <c r="E34" s="31" t="s">
        <v>44</v>
      </c>
      <c r="F34" s="2" t="s">
        <v>2</v>
      </c>
      <c r="G34" s="41"/>
      <c r="H34" s="41"/>
      <c r="I34" s="41"/>
      <c r="J34" s="41"/>
      <c r="K34" s="41"/>
      <c r="L34" s="41"/>
      <c r="M34" s="41"/>
      <c r="N34" s="43"/>
      <c r="O34" s="43"/>
      <c r="P34" s="43"/>
      <c r="Q34" s="43"/>
      <c r="R34" s="43"/>
      <c r="S34" s="41"/>
      <c r="T34" s="41"/>
      <c r="U34" s="41"/>
      <c r="V34" s="41"/>
      <c r="W34" s="41"/>
      <c r="X34" s="44"/>
    </row>
    <row r="35" spans="1:24" ht="15" x14ac:dyDescent="0.25">
      <c r="A35" s="3">
        <v>17377625</v>
      </c>
      <c r="B35" s="3" t="s">
        <v>3</v>
      </c>
      <c r="C35" s="46"/>
      <c r="D35" s="32">
        <f>ROUND(C35,0)</f>
        <v>0</v>
      </c>
      <c r="E35" s="32">
        <f>E30+C35</f>
        <v>0</v>
      </c>
      <c r="F35" s="11" t="str">
        <f>IF(AND(C35&gt;0,X35="",J35&gt;=$K$3), N35+O35+P35, "")</f>
        <v/>
      </c>
      <c r="G35" s="33">
        <f>IF(E35&lt;100,C35,IF(E35-C35&gt;100,0,MIN(100-(E35-C35))))</f>
        <v>0</v>
      </c>
      <c r="H35" s="33">
        <f>IF(E35&lt;=100,0,IF(E35-C35&gt;150,0,MIN(150,E35)-MAX(100,E35-C35)))</f>
        <v>0</v>
      </c>
      <c r="I35" s="33">
        <f>IF(E35&lt;=150,0,E35-MAX(150,E35-C35))</f>
        <v>0</v>
      </c>
      <c r="J35" s="34">
        <f>F33</f>
        <v>0</v>
      </c>
      <c r="K35" s="33" t="str">
        <f>IF($J35&lt;$K$3, "", IF($J35&lt;$K$2,6.58,7.58))</f>
        <v/>
      </c>
      <c r="L35" s="33" t="str">
        <f>IF($J35&lt;$K$3, "", IF($J35&lt;$K$2,4.28,4.92))</f>
        <v/>
      </c>
      <c r="M35" s="33" t="str">
        <f>IF($J35&lt;$K$3, "", IF($J35&lt;$K$2,2.19,2.52))</f>
        <v/>
      </c>
      <c r="N35" s="35" t="str">
        <f>IF($J35&lt;$K$3, "",G35*ROUND((K35+$Q35+$R35)*1.19,2))</f>
        <v/>
      </c>
      <c r="O35" s="35" t="str">
        <f t="shared" ref="O35:O39" si="44">IF($J35&lt;$K$3, "",H35*ROUND((L35+$Q35+$R35)*1.19,2))</f>
        <v/>
      </c>
      <c r="P35" s="35" t="str">
        <f t="shared" ref="P35:P39" si="45">IF($J35&lt;$K$3, "",I35*ROUND((M35+$Q35+$R35)*1.19,2))</f>
        <v/>
      </c>
      <c r="Q35" s="35">
        <f>IF(J35&lt;$K$4,1.65,IF(J35&lt;$K$5,1.4,3.72))</f>
        <v>1.65</v>
      </c>
      <c r="R35" s="35">
        <f>IF(F$33&lt;$K$1,8.6,7.45)</f>
        <v>8.6</v>
      </c>
      <c r="S35" s="33">
        <f>IF(C35&gt;0,1,0)</f>
        <v>0</v>
      </c>
      <c r="T35" s="33">
        <f>S35</f>
        <v>0</v>
      </c>
      <c r="U35" s="33" t="str">
        <f>IF(S35&gt;0,A35,"")</f>
        <v/>
      </c>
      <c r="V35" s="33" t="str">
        <f>IF(S35&gt;0,C35,"")</f>
        <v/>
      </c>
      <c r="W35" s="42" t="str">
        <f>IF(S35&gt;0,F35,"")</f>
        <v/>
      </c>
      <c r="X35" s="1" t="str">
        <f t="shared" ref="X35:X37" si="46">IF(AND(C35&lt;&gt;0,T35&gt;3),"Es dürfen maximal 3 Positionen auf einem Rezept gedruckt werden!","")</f>
        <v/>
      </c>
    </row>
    <row r="36" spans="1:24" ht="15" x14ac:dyDescent="0.25">
      <c r="A36" s="3">
        <v>17377588</v>
      </c>
      <c r="B36" s="3" t="s">
        <v>4</v>
      </c>
      <c r="C36" s="46"/>
      <c r="D36" s="32">
        <f t="shared" ref="D36:D39" si="47">ROUND(C36,0)</f>
        <v>0</v>
      </c>
      <c r="E36" s="32">
        <f>E35+C36</f>
        <v>0</v>
      </c>
      <c r="F36" s="11" t="str">
        <f t="shared" ref="F36:F39" si="48">IF(AND(C36&gt;0,X36="",J36&gt;=$K$3), N36+O36+P36, "")</f>
        <v/>
      </c>
      <c r="G36" s="33">
        <f>IF(E36&lt;100,C36,IF(E36-C36&gt;100,0,MIN(100-(E36-C36))))</f>
        <v>0</v>
      </c>
      <c r="H36" s="33">
        <f>IF(E36&lt;=100,0,IF(E36-C36&gt;150,0,MIN(150,E36)-MAX(100,E36-C36)))</f>
        <v>0</v>
      </c>
      <c r="I36" s="33">
        <f>IF(E36&lt;=150,0,E36-MAX(150,E36-C36))</f>
        <v>0</v>
      </c>
      <c r="J36" s="34">
        <f>F33</f>
        <v>0</v>
      </c>
      <c r="K36" s="33" t="str">
        <f t="shared" ref="K36:K39" si="49">IF($J36&lt;$K$3, "", IF($J36&lt;$K$2,6.58,7.58))</f>
        <v/>
      </c>
      <c r="L36" s="33" t="str">
        <f t="shared" ref="L36:L39" si="50">IF($J36&lt;$K$3, "", IF($J36&lt;$K$2,4.28,4.92))</f>
        <v/>
      </c>
      <c r="M36" s="33" t="str">
        <f t="shared" ref="M36:M39" si="51">IF($J36&lt;$K$3, "", IF($J36&lt;$K$2,2.19,2.52))</f>
        <v/>
      </c>
      <c r="N36" s="35" t="str">
        <f t="shared" ref="N36:N39" si="52">IF($J36&lt;$K$3, "",G36*ROUND((K36+$Q36+$R36)*1.19,2))</f>
        <v/>
      </c>
      <c r="O36" s="35" t="str">
        <f t="shared" si="44"/>
        <v/>
      </c>
      <c r="P36" s="35" t="str">
        <f t="shared" si="45"/>
        <v/>
      </c>
      <c r="Q36" s="35">
        <f t="shared" ref="Q36:Q39" si="53">IF(J36&lt;$K$4,1.65,IF(J36&lt;$K$5,1.4,3.72))</f>
        <v>1.65</v>
      </c>
      <c r="R36" s="35">
        <f>IF(F$33&lt;$K$1,8.6,7.45)</f>
        <v>8.6</v>
      </c>
      <c r="S36" s="33">
        <f>IF(C36&gt;0,T35+1,0)</f>
        <v>0</v>
      </c>
      <c r="T36" s="33">
        <f>IF(C36&gt;0,T35+1,T35)</f>
        <v>0</v>
      </c>
      <c r="U36" s="33" t="str">
        <f>IF(S36&gt;0,A36,"")</f>
        <v/>
      </c>
      <c r="V36" s="33" t="str">
        <f>IF(S36&gt;0,C36,"")</f>
        <v/>
      </c>
      <c r="W36" s="42" t="str">
        <f>IF(S36&gt;0,F36,"")</f>
        <v/>
      </c>
      <c r="X36" s="1" t="str">
        <f t="shared" si="46"/>
        <v/>
      </c>
    </row>
    <row r="37" spans="1:24" ht="15" x14ac:dyDescent="0.25">
      <c r="A37" s="3">
        <v>17377602</v>
      </c>
      <c r="B37" s="3" t="s">
        <v>51</v>
      </c>
      <c r="C37" s="46"/>
      <c r="D37" s="32">
        <f t="shared" si="47"/>
        <v>0</v>
      </c>
      <c r="E37" s="32">
        <f>E36+C37</f>
        <v>0</v>
      </c>
      <c r="F37" s="11" t="str">
        <f t="shared" si="48"/>
        <v/>
      </c>
      <c r="G37" s="33">
        <f>IF(E37&lt;100,C37,IF(E37-C37&gt;100,0,MIN(100-(E37-C37))))</f>
        <v>0</v>
      </c>
      <c r="H37" s="33">
        <f>IF(E37&lt;=100,0,IF(E37-C37&gt;150,0,MIN(150,E37)-MAX(100,E37-C37)))</f>
        <v>0</v>
      </c>
      <c r="I37" s="33">
        <f>IF(E37&lt;=150,0,E37-MAX(150,E37-C37))</f>
        <v>0</v>
      </c>
      <c r="J37" s="34">
        <f>F33</f>
        <v>0</v>
      </c>
      <c r="K37" s="33" t="str">
        <f t="shared" si="49"/>
        <v/>
      </c>
      <c r="L37" s="33" t="str">
        <f t="shared" si="50"/>
        <v/>
      </c>
      <c r="M37" s="33" t="str">
        <f t="shared" si="51"/>
        <v/>
      </c>
      <c r="N37" s="35" t="str">
        <f t="shared" si="52"/>
        <v/>
      </c>
      <c r="O37" s="35" t="str">
        <f t="shared" si="44"/>
        <v/>
      </c>
      <c r="P37" s="35" t="str">
        <f t="shared" si="45"/>
        <v/>
      </c>
      <c r="Q37" s="35">
        <f>IF(J37&lt;$K$4,1.65,IF(J37&lt;$K$5,2.8,3.72))</f>
        <v>1.65</v>
      </c>
      <c r="R37" s="35">
        <f>IF(F$33&lt;$K$1,8.6,7.45)</f>
        <v>8.6</v>
      </c>
      <c r="S37" s="33">
        <f t="shared" ref="S37:S39" si="54">IF(C37&gt;0,T36+1,0)</f>
        <v>0</v>
      </c>
      <c r="T37" s="33">
        <f t="shared" ref="T37:T39" si="55">IF(C37&gt;0,T36+1,T36)</f>
        <v>0</v>
      </c>
      <c r="U37" s="33" t="str">
        <f>IF(S37&gt;0,A37,"")</f>
        <v/>
      </c>
      <c r="V37" s="33" t="str">
        <f>IF(S37&gt;0,C37,"")</f>
        <v/>
      </c>
      <c r="W37" s="42" t="str">
        <f>IF(S37&gt;0,F37,"")</f>
        <v/>
      </c>
      <c r="X37" s="1" t="str">
        <f t="shared" si="46"/>
        <v/>
      </c>
    </row>
    <row r="38" spans="1:24" ht="15" x14ac:dyDescent="0.25">
      <c r="A38" s="3">
        <v>17377648</v>
      </c>
      <c r="B38" s="3" t="s">
        <v>5</v>
      </c>
      <c r="C38" s="46"/>
      <c r="D38" s="32">
        <f t="shared" si="47"/>
        <v>0</v>
      </c>
      <c r="E38" s="32">
        <f>E37+C38</f>
        <v>0</v>
      </c>
      <c r="F38" s="11" t="str">
        <f t="shared" si="48"/>
        <v/>
      </c>
      <c r="G38" s="33">
        <f>IF(E38&lt;100,C38,IF(E38-C38&gt;100,0,MIN(100-(E38-C38))))</f>
        <v>0</v>
      </c>
      <c r="H38" s="33">
        <f>IF(E38&lt;=100,0,IF(E38-C38&gt;150,0,MIN(150,E38)-MAX(100,E38-C38)))</f>
        <v>0</v>
      </c>
      <c r="I38" s="33">
        <f>IF(E38&lt;=150,0,E38-MAX(150,E38-C38))</f>
        <v>0</v>
      </c>
      <c r="J38" s="34">
        <f>F33</f>
        <v>0</v>
      </c>
      <c r="K38" s="33" t="str">
        <f t="shared" si="49"/>
        <v/>
      </c>
      <c r="L38" s="33" t="str">
        <f t="shared" si="50"/>
        <v/>
      </c>
      <c r="M38" s="33" t="str">
        <f t="shared" si="51"/>
        <v/>
      </c>
      <c r="N38" s="35" t="str">
        <f t="shared" si="52"/>
        <v/>
      </c>
      <c r="O38" s="35" t="str">
        <f t="shared" si="44"/>
        <v/>
      </c>
      <c r="P38" s="35" t="str">
        <f t="shared" si="45"/>
        <v/>
      </c>
      <c r="Q38" s="35">
        <f t="shared" si="53"/>
        <v>1.65</v>
      </c>
      <c r="R38" s="35">
        <f>IF(F$33&lt;$K$1,8.6,7.45)</f>
        <v>8.6</v>
      </c>
      <c r="S38" s="33">
        <f t="shared" si="54"/>
        <v>0</v>
      </c>
      <c r="T38" s="33">
        <f t="shared" si="55"/>
        <v>0</v>
      </c>
      <c r="U38" s="33" t="str">
        <f>IF(S38&gt;0,A38,"")</f>
        <v/>
      </c>
      <c r="V38" s="33" t="str">
        <f>IF(S38&gt;0,C38,"")</f>
        <v/>
      </c>
      <c r="W38" s="42" t="str">
        <f>IF(S38&gt;0,F38,"")</f>
        <v/>
      </c>
      <c r="X38" s="1" t="str">
        <f>IF(AND(C38&lt;&gt;0,T38&gt;3),"Es dürfen maximal 3 Positionen auf einem Rezept gedruckt werden!","")</f>
        <v/>
      </c>
    </row>
    <row r="39" spans="1:24" x14ac:dyDescent="0.3">
      <c r="A39" s="3">
        <v>17895975</v>
      </c>
      <c r="B39" s="3" t="s">
        <v>55</v>
      </c>
      <c r="C39" s="46"/>
      <c r="D39" s="32">
        <f t="shared" si="47"/>
        <v>0</v>
      </c>
      <c r="E39" s="32">
        <f t="shared" ref="E39" si="56">E38+C39</f>
        <v>0</v>
      </c>
      <c r="F39" s="11" t="str">
        <f t="shared" si="48"/>
        <v/>
      </c>
      <c r="G39" s="33">
        <f>IF(E39&lt;100,C39,IF(E39-C39&gt;100,0,MIN(100-(E39-C39))))</f>
        <v>0</v>
      </c>
      <c r="H39" s="33">
        <f>IF(E39&lt;=100,0,IF(E39-C39&gt;150,0,MIN(150,E39)-MAX(100,E39-C39)))</f>
        <v>0</v>
      </c>
      <c r="I39" s="33">
        <f>IF(E39&lt;=150,0,E39-MAX(150,E39-C39))</f>
        <v>0</v>
      </c>
      <c r="J39" s="34">
        <f>F33</f>
        <v>0</v>
      </c>
      <c r="K39" s="33" t="str">
        <f t="shared" si="49"/>
        <v/>
      </c>
      <c r="L39" s="33" t="str">
        <f t="shared" si="50"/>
        <v/>
      </c>
      <c r="M39" s="33" t="str">
        <f t="shared" si="51"/>
        <v/>
      </c>
      <c r="N39" s="35" t="str">
        <f t="shared" si="52"/>
        <v/>
      </c>
      <c r="O39" s="35" t="str">
        <f t="shared" si="44"/>
        <v/>
      </c>
      <c r="P39" s="35" t="str">
        <f t="shared" si="45"/>
        <v/>
      </c>
      <c r="Q39" s="35">
        <f t="shared" si="53"/>
        <v>1.65</v>
      </c>
      <c r="R39" s="35">
        <f>IF(F$6&lt;$K$1,8.6,7.45)</f>
        <v>8.6</v>
      </c>
      <c r="S39" s="33">
        <f t="shared" si="54"/>
        <v>0</v>
      </c>
      <c r="T39" s="33">
        <f t="shared" si="55"/>
        <v>0</v>
      </c>
      <c r="U39" s="33" t="str">
        <f>IF(S39&gt;0,A39,"")</f>
        <v/>
      </c>
      <c r="V39" s="33" t="str">
        <f>IF(S39&gt;0,C39,"")</f>
        <v/>
      </c>
      <c r="W39" s="42" t="str">
        <f>IF(S39&gt;0,F39,"")</f>
        <v/>
      </c>
      <c r="X39" s="1" t="str">
        <f>IF(AND(C39&lt;&gt;0,T39&gt;3),"Es dürfen maximal 3 Positionen auf einem Rezept gedruckt werden!","")</f>
        <v/>
      </c>
    </row>
    <row r="40" spans="1:24" ht="15" x14ac:dyDescent="0.25">
      <c r="A40" s="3"/>
      <c r="B40" s="2" t="s">
        <v>7</v>
      </c>
      <c r="C40" s="8">
        <f>SUM(C35:C39)</f>
        <v>0</v>
      </c>
      <c r="D40" s="32"/>
      <c r="E40" s="32"/>
      <c r="F40" s="11">
        <f>SUM(F35:F39)</f>
        <v>0</v>
      </c>
      <c r="X40" s="1"/>
    </row>
    <row r="41" spans="1:24" ht="15" x14ac:dyDescent="0.25">
      <c r="A41" s="1"/>
      <c r="B41" s="1"/>
      <c r="C41" s="7"/>
      <c r="F41" s="7"/>
      <c r="X41" s="1"/>
    </row>
    <row r="42" spans="1:24" ht="15.6" x14ac:dyDescent="0.3">
      <c r="A42" s="50" t="s">
        <v>27</v>
      </c>
      <c r="B42" s="50"/>
      <c r="C42" s="6" t="s">
        <v>17</v>
      </c>
      <c r="D42" s="29"/>
      <c r="E42" s="30"/>
      <c r="F42" s="47"/>
      <c r="X42" s="1" t="str">
        <f>IF(F42&lt;$K$3, "Eine Belieferung der Ärzte kann erst ab dem 31.05.2021 erfolgen", "")</f>
        <v>Eine Belieferung der Ärzte kann erst ab dem 31.05.2021 erfolgen</v>
      </c>
    </row>
    <row r="43" spans="1:24" s="10" customFormat="1" x14ac:dyDescent="0.3">
      <c r="A43" s="2" t="s">
        <v>0</v>
      </c>
      <c r="B43" s="2" t="s">
        <v>6</v>
      </c>
      <c r="C43" s="2" t="s">
        <v>1</v>
      </c>
      <c r="D43" s="31" t="s">
        <v>43</v>
      </c>
      <c r="E43" s="31" t="s">
        <v>44</v>
      </c>
      <c r="F43" s="2" t="s">
        <v>2</v>
      </c>
      <c r="G43" s="41"/>
      <c r="H43" s="41"/>
      <c r="I43" s="41"/>
      <c r="J43" s="41"/>
      <c r="K43" s="41"/>
      <c r="L43" s="41"/>
      <c r="M43" s="41"/>
      <c r="N43" s="43"/>
      <c r="O43" s="43"/>
      <c r="P43" s="43"/>
      <c r="Q43" s="43"/>
      <c r="R43" s="43"/>
      <c r="S43" s="41"/>
      <c r="T43" s="41"/>
      <c r="U43" s="41"/>
      <c r="V43" s="41"/>
      <c r="W43" s="41"/>
      <c r="X43" s="44"/>
    </row>
    <row r="44" spans="1:24" x14ac:dyDescent="0.3">
      <c r="A44" s="3">
        <v>17377625</v>
      </c>
      <c r="B44" s="3" t="s">
        <v>3</v>
      </c>
      <c r="C44" s="46"/>
      <c r="D44" s="32">
        <f>ROUND(C44,0)</f>
        <v>0</v>
      </c>
      <c r="E44" s="32">
        <f>E39+C44</f>
        <v>0</v>
      </c>
      <c r="F44" s="11" t="str">
        <f>IF(AND(C44&gt;0,X44="",J44&gt;=$K$3), N44+O44+P44, "")</f>
        <v/>
      </c>
      <c r="G44" s="33">
        <f>IF(E44&lt;100,C44,IF(E44-C44&gt;100,0,MIN(100-(E44-C44))))</f>
        <v>0</v>
      </c>
      <c r="H44" s="33">
        <f>IF(E44&lt;=100,0,IF(E44-C44&gt;150,0,MIN(150,E44)-MAX(100,E44-C44)))</f>
        <v>0</v>
      </c>
      <c r="I44" s="33">
        <f t="shared" ref="I44:I45" si="57">IF(E44&lt;=150,0,E44-MAX(150,E44-C44))</f>
        <v>0</v>
      </c>
      <c r="J44" s="34">
        <f>F42</f>
        <v>0</v>
      </c>
      <c r="K44" s="33" t="str">
        <f>IF($J44&lt;$K$3, "", IF($J44&lt;$K$2,6.58,7.58))</f>
        <v/>
      </c>
      <c r="L44" s="33" t="str">
        <f>IF($J44&lt;$K$3, "", IF($J44&lt;$K$2,4.28,4.92))</f>
        <v/>
      </c>
      <c r="M44" s="33" t="str">
        <f>IF($J44&lt;$K$3, "", IF($J44&lt;$K$2,2.19,2.52))</f>
        <v/>
      </c>
      <c r="N44" s="35" t="str">
        <f>IF($J44&lt;$K$3, "",G44*ROUND((K44+$Q44+$R44)*1.19,2))</f>
        <v/>
      </c>
      <c r="O44" s="35" t="str">
        <f t="shared" ref="O44:O48" si="58">IF($J44&lt;$K$3, "",H44*ROUND((L44+$Q44+$R44)*1.19,2))</f>
        <v/>
      </c>
      <c r="P44" s="35" t="str">
        <f t="shared" ref="P44:P48" si="59">IF($J44&lt;$K$3, "",I44*ROUND((M44+$Q44+$R44)*1.19,2))</f>
        <v/>
      </c>
      <c r="Q44" s="35">
        <f>IF(J44&lt;$K$4,1.65,IF(J44&lt;$K$5,1.4,3.72))</f>
        <v>1.65</v>
      </c>
      <c r="R44" s="35">
        <f>IF(F$42&lt;$K$1,8.6,7.45)</f>
        <v>8.6</v>
      </c>
      <c r="S44" s="33">
        <f>IF(C44&gt;0,1,0)</f>
        <v>0</v>
      </c>
      <c r="T44" s="33">
        <f>S44</f>
        <v>0</v>
      </c>
      <c r="U44" s="33" t="str">
        <f>IF(S44&gt;0,A44,"")</f>
        <v/>
      </c>
      <c r="V44" s="33" t="str">
        <f>IF(S44&gt;0,C44,"")</f>
        <v/>
      </c>
      <c r="W44" s="42" t="str">
        <f>IF(S44&gt;0,F44,"")</f>
        <v/>
      </c>
      <c r="X44" s="1" t="str">
        <f t="shared" ref="X44:X46" si="60">IF(AND(C44&lt;&gt;0,T44&gt;3),"Es dürfen maximal 3 Positionen auf einem Rezept gedruckt werden!","")</f>
        <v/>
      </c>
    </row>
    <row r="45" spans="1:24" x14ac:dyDescent="0.3">
      <c r="A45" s="3">
        <v>17377588</v>
      </c>
      <c r="B45" s="3" t="s">
        <v>4</v>
      </c>
      <c r="C45" s="46"/>
      <c r="D45" s="32">
        <f t="shared" ref="D45:D48" si="61">ROUND(C45,0)</f>
        <v>0</v>
      </c>
      <c r="E45" s="32">
        <f>E44+C45</f>
        <v>0</v>
      </c>
      <c r="F45" s="11" t="str">
        <f t="shared" ref="F45:F48" si="62">IF(AND(C45&gt;0,X45="",J45&gt;=$K$3), N45+O45+P45, "")</f>
        <v/>
      </c>
      <c r="G45" s="33">
        <f>IF(E45&lt;100,C45,IF(E45-C45&gt;100,0,MIN(100-(E45-C45))))</f>
        <v>0</v>
      </c>
      <c r="H45" s="33">
        <f>IF(E45&lt;=100,0,IF(E45-C45&gt;150,0,MIN(150,E45)-MAX(100,E45-C45)))</f>
        <v>0</v>
      </c>
      <c r="I45" s="33">
        <f t="shared" si="57"/>
        <v>0</v>
      </c>
      <c r="J45" s="34">
        <f>F42</f>
        <v>0</v>
      </c>
      <c r="K45" s="33" t="str">
        <f t="shared" ref="K45:K48" si="63">IF($J45&lt;$K$3, "", IF($J45&lt;$K$2,6.58,7.58))</f>
        <v/>
      </c>
      <c r="L45" s="33" t="str">
        <f t="shared" ref="L45:L48" si="64">IF($J45&lt;$K$3, "", IF($J45&lt;$K$2,4.28,4.92))</f>
        <v/>
      </c>
      <c r="M45" s="33" t="str">
        <f t="shared" ref="M45:M48" si="65">IF($J45&lt;$K$3, "", IF($J45&lt;$K$2,2.19,2.52))</f>
        <v/>
      </c>
      <c r="N45" s="35" t="str">
        <f t="shared" ref="N45:N48" si="66">IF($J45&lt;$K$3, "",G45*ROUND((K45+$Q45+$R45)*1.19,2))</f>
        <v/>
      </c>
      <c r="O45" s="35" t="str">
        <f t="shared" si="58"/>
        <v/>
      </c>
      <c r="P45" s="35" t="str">
        <f t="shared" si="59"/>
        <v/>
      </c>
      <c r="Q45" s="35">
        <f t="shared" ref="Q45:Q48" si="67">IF(J45&lt;$K$4,1.65,IF(J45&lt;$K$5,1.4,3.72))</f>
        <v>1.65</v>
      </c>
      <c r="R45" s="35">
        <f>IF(F$42&lt;$K$1,8.6,7.45)</f>
        <v>8.6</v>
      </c>
      <c r="S45" s="33">
        <f>IF(C45&gt;0,T44+1,0)</f>
        <v>0</v>
      </c>
      <c r="T45" s="33">
        <f>IF(C45&gt;0,T44+1,T44)</f>
        <v>0</v>
      </c>
      <c r="U45" s="33" t="str">
        <f>IF(S45&gt;0,A45,"")</f>
        <v/>
      </c>
      <c r="V45" s="33" t="str">
        <f>IF(S45&gt;0,C45,"")</f>
        <v/>
      </c>
      <c r="W45" s="42" t="str">
        <f>IF(S45&gt;0,F45,"")</f>
        <v/>
      </c>
      <c r="X45" s="1" t="str">
        <f t="shared" si="60"/>
        <v/>
      </c>
    </row>
    <row r="46" spans="1:24" x14ac:dyDescent="0.3">
      <c r="A46" s="3">
        <v>17377602</v>
      </c>
      <c r="B46" s="3" t="s">
        <v>51</v>
      </c>
      <c r="C46" s="46"/>
      <c r="D46" s="32">
        <f t="shared" si="61"/>
        <v>0</v>
      </c>
      <c r="E46" s="32">
        <f t="shared" ref="E46:E48" si="68">E45+C46</f>
        <v>0</v>
      </c>
      <c r="F46" s="11" t="str">
        <f t="shared" si="62"/>
        <v/>
      </c>
      <c r="G46" s="33">
        <f>IF(E46&lt;100,C46,IF(E46-C46&gt;100,0,MIN(100-(E46-C46))))</f>
        <v>0</v>
      </c>
      <c r="H46" s="33">
        <f>IF(E46&lt;=100,0,IF(E46-C46&gt;150,0,MIN(150,E46)-MAX(100,E46-C46)))</f>
        <v>0</v>
      </c>
      <c r="I46" s="33">
        <f>IF(E46&lt;=150,0,E46-MAX(150,E46-C46))</f>
        <v>0</v>
      </c>
      <c r="J46" s="34">
        <f>F42</f>
        <v>0</v>
      </c>
      <c r="K46" s="33" t="str">
        <f t="shared" si="63"/>
        <v/>
      </c>
      <c r="L46" s="33" t="str">
        <f t="shared" si="64"/>
        <v/>
      </c>
      <c r="M46" s="33" t="str">
        <f t="shared" si="65"/>
        <v/>
      </c>
      <c r="N46" s="35" t="str">
        <f t="shared" si="66"/>
        <v/>
      </c>
      <c r="O46" s="35" t="str">
        <f t="shared" si="58"/>
        <v/>
      </c>
      <c r="P46" s="35" t="str">
        <f t="shared" si="59"/>
        <v/>
      </c>
      <c r="Q46" s="35">
        <f>IF(J46&lt;$K$4,1.65,IF(J46&lt;$K$5,2.8,3.72))</f>
        <v>1.65</v>
      </c>
      <c r="R46" s="35">
        <f>IF(F$42&lt;$K$1,8.6,7.45)</f>
        <v>8.6</v>
      </c>
      <c r="S46" s="33">
        <f t="shared" ref="S46:S48" si="69">IF(C46&gt;0,T45+1,0)</f>
        <v>0</v>
      </c>
      <c r="T46" s="33">
        <f t="shared" ref="T46:T48" si="70">IF(C46&gt;0,T45+1,T45)</f>
        <v>0</v>
      </c>
      <c r="U46" s="33" t="str">
        <f>IF(S46&gt;0,A46,"")</f>
        <v/>
      </c>
      <c r="V46" s="33" t="str">
        <f>IF(S46&gt;0,C46,"")</f>
        <v/>
      </c>
      <c r="W46" s="42" t="str">
        <f>IF(S46&gt;0,F46,"")</f>
        <v/>
      </c>
      <c r="X46" s="1" t="str">
        <f t="shared" si="60"/>
        <v/>
      </c>
    </row>
    <row r="47" spans="1:24" x14ac:dyDescent="0.3">
      <c r="A47" s="3">
        <v>17377648</v>
      </c>
      <c r="B47" s="3" t="s">
        <v>5</v>
      </c>
      <c r="C47" s="46"/>
      <c r="D47" s="32">
        <f t="shared" si="61"/>
        <v>0</v>
      </c>
      <c r="E47" s="32">
        <f t="shared" si="68"/>
        <v>0</v>
      </c>
      <c r="F47" s="11" t="str">
        <f t="shared" si="62"/>
        <v/>
      </c>
      <c r="G47" s="33">
        <f>IF(E47&lt;100,C47,IF(E47-C47&gt;100,0,MIN(100-(E47-C47))))</f>
        <v>0</v>
      </c>
      <c r="H47" s="33">
        <f>IF(E47&lt;=100,0,IF(E47-C47&gt;150,0,MIN(150,E47)-MAX(100,E47-C47)))</f>
        <v>0</v>
      </c>
      <c r="I47" s="33">
        <f t="shared" ref="I47" si="71">IF(E47&lt;=150,0,E47-MAX(150,E47-C47))</f>
        <v>0</v>
      </c>
      <c r="J47" s="34">
        <f>F42</f>
        <v>0</v>
      </c>
      <c r="K47" s="33" t="str">
        <f t="shared" si="63"/>
        <v/>
      </c>
      <c r="L47" s="33" t="str">
        <f t="shared" si="64"/>
        <v/>
      </c>
      <c r="M47" s="33" t="str">
        <f t="shared" si="65"/>
        <v/>
      </c>
      <c r="N47" s="35" t="str">
        <f t="shared" si="66"/>
        <v/>
      </c>
      <c r="O47" s="35" t="str">
        <f t="shared" si="58"/>
        <v/>
      </c>
      <c r="P47" s="35" t="str">
        <f t="shared" si="59"/>
        <v/>
      </c>
      <c r="Q47" s="35">
        <f t="shared" si="67"/>
        <v>1.65</v>
      </c>
      <c r="R47" s="35">
        <f>IF(F$42&lt;$K$1,8.6,7.45)</f>
        <v>8.6</v>
      </c>
      <c r="S47" s="33">
        <f t="shared" si="69"/>
        <v>0</v>
      </c>
      <c r="T47" s="33">
        <f t="shared" si="70"/>
        <v>0</v>
      </c>
      <c r="U47" s="33" t="str">
        <f>IF(S47&gt;0,A47,"")</f>
        <v/>
      </c>
      <c r="V47" s="33" t="str">
        <f>IF(S47&gt;0,C47,"")</f>
        <v/>
      </c>
      <c r="W47" s="42" t="str">
        <f>IF(S47&gt;0,F47,"")</f>
        <v/>
      </c>
      <c r="X47" s="1" t="str">
        <f>IF(AND(C47&lt;&gt;0,T47&gt;3),"Es dürfen maximal 3 Positionen auf einem Rezept gedruckt werden!","")</f>
        <v/>
      </c>
    </row>
    <row r="48" spans="1:24" x14ac:dyDescent="0.3">
      <c r="A48" s="3">
        <v>17895975</v>
      </c>
      <c r="B48" s="3" t="s">
        <v>55</v>
      </c>
      <c r="C48" s="46"/>
      <c r="D48" s="32">
        <f t="shared" si="61"/>
        <v>0</v>
      </c>
      <c r="E48" s="32">
        <f t="shared" si="68"/>
        <v>0</v>
      </c>
      <c r="F48" s="11" t="str">
        <f t="shared" si="62"/>
        <v/>
      </c>
      <c r="G48" s="33">
        <f>IF(E48&lt;100,C48,IF(E48-C48&gt;100,0,MIN(100-(E48-C48))))</f>
        <v>0</v>
      </c>
      <c r="H48" s="33">
        <f>IF(E48&lt;=100,0,IF(E48-C48&gt;150,0,MIN(150,E48)-MAX(100,E48-C48)))</f>
        <v>0</v>
      </c>
      <c r="I48" s="33">
        <f>IF(E48&lt;=150,0,E48-MAX(150,E48-C48))</f>
        <v>0</v>
      </c>
      <c r="J48" s="34">
        <f>F42</f>
        <v>0</v>
      </c>
      <c r="K48" s="33" t="str">
        <f t="shared" si="63"/>
        <v/>
      </c>
      <c r="L48" s="33" t="str">
        <f t="shared" si="64"/>
        <v/>
      </c>
      <c r="M48" s="33" t="str">
        <f t="shared" si="65"/>
        <v/>
      </c>
      <c r="N48" s="35" t="str">
        <f t="shared" si="66"/>
        <v/>
      </c>
      <c r="O48" s="35" t="str">
        <f t="shared" si="58"/>
        <v/>
      </c>
      <c r="P48" s="35" t="str">
        <f t="shared" si="59"/>
        <v/>
      </c>
      <c r="Q48" s="35">
        <f t="shared" si="67"/>
        <v>1.65</v>
      </c>
      <c r="R48" s="35">
        <f>IF(F$6&lt;$K$1,8.6,7.45)</f>
        <v>8.6</v>
      </c>
      <c r="S48" s="33">
        <f t="shared" si="69"/>
        <v>0</v>
      </c>
      <c r="T48" s="33">
        <f t="shared" si="70"/>
        <v>0</v>
      </c>
      <c r="U48" s="33" t="str">
        <f>IF(S48&gt;0,A48,"")</f>
        <v/>
      </c>
      <c r="V48" s="33" t="str">
        <f>IF(S48&gt;0,C48,"")</f>
        <v/>
      </c>
      <c r="W48" s="42" t="str">
        <f>IF(S48&gt;0,F48,"")</f>
        <v/>
      </c>
      <c r="X48" s="1" t="str">
        <f>IF(AND(C48&lt;&gt;0,T48&gt;3),"Es dürfen maximal 3 Positionen auf einem Rezept gedruckt werden!","")</f>
        <v/>
      </c>
    </row>
    <row r="49" spans="1:24" x14ac:dyDescent="0.3">
      <c r="A49" s="3"/>
      <c r="B49" s="2" t="s">
        <v>7</v>
      </c>
      <c r="C49" s="8">
        <f>SUM(C44:C48)</f>
        <v>0</v>
      </c>
      <c r="D49" s="32"/>
      <c r="E49" s="32"/>
      <c r="F49" s="11">
        <f>SUM(F44:F48)</f>
        <v>0</v>
      </c>
      <c r="X49" s="1"/>
    </row>
    <row r="50" spans="1:24" x14ac:dyDescent="0.3">
      <c r="A50" s="1"/>
      <c r="B50" s="1"/>
      <c r="C50" s="7"/>
      <c r="F50" s="7"/>
      <c r="X50" s="1"/>
    </row>
    <row r="51" spans="1:24" x14ac:dyDescent="0.3">
      <c r="F51" s="20"/>
      <c r="G51" s="33">
        <f>SUM(G8:G50)</f>
        <v>0</v>
      </c>
      <c r="H51" s="33">
        <f t="shared" ref="H51:P51" si="72">SUM(H8:H50)</f>
        <v>0</v>
      </c>
      <c r="I51" s="33">
        <f t="shared" si="72"/>
        <v>0</v>
      </c>
      <c r="N51" s="35">
        <f t="shared" si="72"/>
        <v>0</v>
      </c>
      <c r="O51" s="35">
        <f t="shared" si="72"/>
        <v>0</v>
      </c>
      <c r="P51" s="35">
        <f t="shared" si="72"/>
        <v>0</v>
      </c>
    </row>
  </sheetData>
  <sheetProtection algorithmName="SHA-512" hashValue="NWPYuXM0suKL0LdSseGN8ZniTVxcmSaG37jixQSSH6w/XZHERACV97NHY9llRK8FIwpIwcn4BGtOdj7bSMyoUw==" saltValue="5Z3f2otJT+mopOn06yKFJQ==" spinCount="100000" sheet="1" selectLockedCells="1"/>
  <mergeCells count="16">
    <mergeCell ref="A42:B42"/>
    <mergeCell ref="G6:I6"/>
    <mergeCell ref="N6:P6"/>
    <mergeCell ref="K6:M6"/>
    <mergeCell ref="A6:B6"/>
    <mergeCell ref="A15:B15"/>
    <mergeCell ref="A24:B24"/>
    <mergeCell ref="Q6:R6"/>
    <mergeCell ref="A33:B33"/>
    <mergeCell ref="G1:I1"/>
    <mergeCell ref="G2:I2"/>
    <mergeCell ref="G3:I3"/>
    <mergeCell ref="C1:F1"/>
    <mergeCell ref="C2:F2"/>
    <mergeCell ref="G4:I4"/>
    <mergeCell ref="G5:I5"/>
  </mergeCells>
  <pageMargins left="0.7" right="0.7" top="0.78740157499999996" bottom="0.78740157499999996" header="0.3" footer="0.3"/>
  <pageSetup paperSize="9" scale="9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
  <sheetViews>
    <sheetView topLeftCell="E1" workbookViewId="0">
      <selection sqref="A1:D1048576"/>
    </sheetView>
  </sheetViews>
  <sheetFormatPr baseColWidth="10" defaultColWidth="11.44140625" defaultRowHeight="15.6" x14ac:dyDescent="0.3"/>
  <cols>
    <col min="1" max="1" width="5.5546875" style="25" hidden="1" customWidth="1"/>
    <col min="2" max="2" width="12.6640625" style="25" hidden="1" customWidth="1"/>
    <col min="3" max="3" width="9.88671875" style="25" hidden="1" customWidth="1"/>
    <col min="4" max="4" width="8.44140625" style="25" hidden="1" customWidth="1"/>
    <col min="5" max="5" width="12.6640625" style="12" bestFit="1" customWidth="1"/>
    <col min="6" max="6" width="18.109375" style="12" customWidth="1"/>
    <col min="7" max="7" width="12" style="12" customWidth="1"/>
    <col min="8" max="8" width="6.6640625" style="12" customWidth="1"/>
    <col min="9" max="9" width="7.6640625" style="12" customWidth="1"/>
    <col min="10" max="16384" width="11.44140625" style="4"/>
  </cols>
  <sheetData>
    <row r="1" spans="1:9" ht="15.75" x14ac:dyDescent="0.25">
      <c r="I1" s="13" t="str">
        <f>IF(OR(ROUND(Datenerfassung!A2/10000000, 0) = 30, Datenerfassung!A2 &lt; 10000000), CONCATENATE("+",TEXT(MOD(Datenerfassung!A2,10000000),"0000000"),"+"), TEXT(Datenerfassung!A2,"000000000"))</f>
        <v>+0000000+</v>
      </c>
    </row>
    <row r="2" spans="1:9" ht="12" customHeight="1" x14ac:dyDescent="0.25"/>
    <row r="3" spans="1:9" ht="15.75" x14ac:dyDescent="0.25">
      <c r="G3" s="21">
        <v>0</v>
      </c>
      <c r="H3" s="55">
        <f>SUM(I6:I9)/100</f>
        <v>0</v>
      </c>
      <c r="I3" s="55"/>
    </row>
    <row r="4" spans="1:9" ht="10.5" customHeight="1" x14ac:dyDescent="0.25">
      <c r="I4" s="14"/>
    </row>
    <row r="5" spans="1:9" ht="15.75" hidden="1" x14ac:dyDescent="0.25">
      <c r="A5" s="25" t="s">
        <v>15</v>
      </c>
      <c r="B5" s="25" t="s">
        <v>0</v>
      </c>
      <c r="C5" s="25" t="s">
        <v>1</v>
      </c>
      <c r="D5" s="25" t="s">
        <v>16</v>
      </c>
      <c r="G5" s="12" t="s">
        <v>0</v>
      </c>
      <c r="H5" s="12" t="s">
        <v>1</v>
      </c>
      <c r="I5" s="12" t="s">
        <v>16</v>
      </c>
    </row>
    <row r="6" spans="1:9" s="5" customFormat="1" ht="22.5" customHeight="1" x14ac:dyDescent="0.25">
      <c r="A6" s="26">
        <v>1</v>
      </c>
      <c r="B6" s="27" t="e">
        <f>VLOOKUP('Beleg 1'!$A6,Datenerfassung!$S$8:$W$12,3,FALSE)</f>
        <v>#N/A</v>
      </c>
      <c r="C6" s="27" t="e">
        <f>VLOOKUP('Beleg 1'!$A6,Datenerfassung!$S$8:$W$12,4,FALSE)</f>
        <v>#N/A</v>
      </c>
      <c r="D6" s="27" t="e">
        <f>VLOOKUP('Beleg 1'!$A6,Datenerfassung!$S$8:$W$12,5,FALSE)</f>
        <v>#N/A</v>
      </c>
      <c r="E6" s="16"/>
      <c r="F6" s="16"/>
      <c r="G6" s="19" t="str">
        <f>IF(ISNA(B6),"",B6)</f>
        <v/>
      </c>
      <c r="H6" s="15" t="str">
        <f t="shared" ref="H6:H9" si="0">IF(ISNA(C6),"",C6)</f>
        <v/>
      </c>
      <c r="I6" s="17" t="str">
        <f>IF(ISNA(D6),"",D6*100)</f>
        <v/>
      </c>
    </row>
    <row r="7" spans="1:9" s="5" customFormat="1" ht="22.5" customHeight="1" x14ac:dyDescent="0.25">
      <c r="A7" s="26">
        <v>2</v>
      </c>
      <c r="B7" s="27" t="e">
        <f>VLOOKUP('Beleg 1'!$A7,Datenerfassung!$S$8:$W$12,3,FALSE)</f>
        <v>#N/A</v>
      </c>
      <c r="C7" s="27" t="e">
        <f>VLOOKUP('Beleg 1'!$A7,Datenerfassung!$S$8:$W$12,4,FALSE)</f>
        <v>#N/A</v>
      </c>
      <c r="D7" s="27" t="e">
        <f>VLOOKUP('Beleg 1'!$A7,Datenerfassung!$S$8:$W$12,5,FALSE)</f>
        <v>#N/A</v>
      </c>
      <c r="E7" s="16"/>
      <c r="F7" s="16"/>
      <c r="G7" s="19" t="str">
        <f t="shared" ref="G7:G9" si="1">IF(ISNA(B7),"",B7)</f>
        <v/>
      </c>
      <c r="H7" s="15" t="str">
        <f t="shared" si="0"/>
        <v/>
      </c>
      <c r="I7" s="17" t="str">
        <f t="shared" ref="I7:I9" si="2">IF(ISNA(D7),"",D7*100)</f>
        <v/>
      </c>
    </row>
    <row r="8" spans="1:9" s="5" customFormat="1" ht="22.5" customHeight="1" x14ac:dyDescent="0.25">
      <c r="A8" s="26">
        <v>3</v>
      </c>
      <c r="B8" s="27" t="e">
        <f>VLOOKUP('Beleg 1'!$A8,Datenerfassung!$S$8:$W$12,3,FALSE)</f>
        <v>#N/A</v>
      </c>
      <c r="C8" s="27" t="e">
        <f>VLOOKUP('Beleg 1'!$A8,Datenerfassung!$S$8:$W$12,4,FALSE)</f>
        <v>#N/A</v>
      </c>
      <c r="D8" s="27" t="e">
        <f>VLOOKUP('Beleg 1'!$A8,Datenerfassung!$S$8:$W$12,5,FALSE)</f>
        <v>#N/A</v>
      </c>
      <c r="E8" s="16"/>
      <c r="F8" s="16"/>
      <c r="G8" s="19" t="str">
        <f t="shared" si="1"/>
        <v/>
      </c>
      <c r="H8" s="15" t="str">
        <f t="shared" si="0"/>
        <v/>
      </c>
      <c r="I8" s="17" t="str">
        <f t="shared" si="2"/>
        <v/>
      </c>
    </row>
    <row r="9" spans="1:9" s="5" customFormat="1" ht="22.5" customHeight="1" x14ac:dyDescent="0.25">
      <c r="A9" s="26">
        <v>4</v>
      </c>
      <c r="B9" s="27" t="e">
        <f>VLOOKUP('Beleg 1'!$A9,Datenerfassung!$S$8:$W$12,3,FALSE)</f>
        <v>#N/A</v>
      </c>
      <c r="C9" s="27" t="e">
        <f>VLOOKUP('Beleg 1'!$A9,Datenerfassung!$S$8:$W$12,4,FALSE)</f>
        <v>#N/A</v>
      </c>
      <c r="D9" s="27" t="e">
        <f>VLOOKUP('Beleg 1'!$A9,Datenerfassung!$S$8:$W$12,5,FALSE)</f>
        <v>#N/A</v>
      </c>
      <c r="E9" s="16"/>
      <c r="F9" s="16"/>
      <c r="G9" s="19" t="str">
        <f t="shared" si="1"/>
        <v/>
      </c>
      <c r="H9" s="15" t="str">
        <f t="shared" si="0"/>
        <v/>
      </c>
      <c r="I9" s="17" t="str">
        <f t="shared" si="2"/>
        <v/>
      </c>
    </row>
    <row r="10" spans="1:9" ht="67.5" customHeight="1" x14ac:dyDescent="0.25"/>
    <row r="11" spans="1:9" ht="15.75" x14ac:dyDescent="0.25">
      <c r="E11" s="18">
        <f>Datenerfassung!F6</f>
        <v>0</v>
      </c>
      <c r="F11" s="12">
        <f>Datenerfassung!B2</f>
        <v>0</v>
      </c>
    </row>
  </sheetData>
  <sheetProtection algorithmName="SHA-512" hashValue="7hD0OcYbAGtB00SgZa8jkj1eI/MNDORRLe+FDTIvcc+iGAV4s9PvEiPKe8Ggrb2erKYvurG7SgfEx9f1yjLDjw==" saltValue="8WgV0af1QBfrfLp/Kb4mow==" spinCount="100000" sheet="1" selectLockedCells="1" selectUnlockedCells="1"/>
  <mergeCells count="1">
    <mergeCell ref="H3:I3"/>
  </mergeCells>
  <pageMargins left="2.4015748031496065" right="0.19685039370078741" top="0.39370078740157483" bottom="0.78740157480314965" header="0"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
  <sheetViews>
    <sheetView topLeftCell="E1" workbookViewId="0">
      <selection sqref="A1:D1048576"/>
    </sheetView>
  </sheetViews>
  <sheetFormatPr baseColWidth="10" defaultColWidth="11.44140625" defaultRowHeight="15.6" x14ac:dyDescent="0.3"/>
  <cols>
    <col min="1" max="1" width="5.5546875" style="25" hidden="1" customWidth="1"/>
    <col min="2" max="2" width="12.6640625" style="25" hidden="1" customWidth="1"/>
    <col min="3" max="3" width="9.88671875" style="25" hidden="1" customWidth="1"/>
    <col min="4" max="4" width="8.44140625" style="25" hidden="1" customWidth="1"/>
    <col min="5" max="5" width="12.6640625" style="12" bestFit="1" customWidth="1"/>
    <col min="6" max="6" width="18.109375" style="12" customWidth="1"/>
    <col min="7" max="7" width="12" style="12" customWidth="1"/>
    <col min="8" max="8" width="6.6640625" style="12" customWidth="1"/>
    <col min="9" max="9" width="7.6640625" style="12" customWidth="1"/>
    <col min="10" max="16384" width="11.44140625" style="4"/>
  </cols>
  <sheetData>
    <row r="1" spans="1:9" ht="15.75" x14ac:dyDescent="0.25">
      <c r="I1" s="13" t="str">
        <f>IF(OR(ROUND(Datenerfassung!A2/10000000, 0) = 30, Datenerfassung!A2 &lt; 10000000), CONCATENATE("+",TEXT(MOD(Datenerfassung!A2,10000000),"0000000"),"+"), TEXT(Datenerfassung!A2,"000000000"))</f>
        <v>+0000000+</v>
      </c>
    </row>
    <row r="2" spans="1:9" ht="12" customHeight="1" x14ac:dyDescent="0.25"/>
    <row r="3" spans="1:9" ht="15.75" x14ac:dyDescent="0.25">
      <c r="G3" s="21">
        <v>0</v>
      </c>
      <c r="H3" s="55">
        <f>SUM(I6:I9)/100</f>
        <v>0</v>
      </c>
      <c r="I3" s="55"/>
    </row>
    <row r="4" spans="1:9" ht="10.5" customHeight="1" x14ac:dyDescent="0.25">
      <c r="I4" s="14"/>
    </row>
    <row r="5" spans="1:9" ht="15.75" hidden="1" x14ac:dyDescent="0.25">
      <c r="A5" s="25" t="s">
        <v>15</v>
      </c>
      <c r="B5" s="25" t="s">
        <v>0</v>
      </c>
      <c r="C5" s="25" t="s">
        <v>1</v>
      </c>
      <c r="D5" s="25" t="s">
        <v>16</v>
      </c>
      <c r="G5" s="12" t="s">
        <v>0</v>
      </c>
      <c r="H5" s="12" t="s">
        <v>1</v>
      </c>
      <c r="I5" s="12" t="s">
        <v>16</v>
      </c>
    </row>
    <row r="6" spans="1:9" s="5" customFormat="1" ht="22.5" customHeight="1" x14ac:dyDescent="0.25">
      <c r="A6" s="26">
        <v>1</v>
      </c>
      <c r="B6" s="27" t="e">
        <f>VLOOKUP('Beleg 2'!$A6,Datenerfassung!$S$17:$W$21,3,FALSE)</f>
        <v>#N/A</v>
      </c>
      <c r="C6" s="27" t="e">
        <f>VLOOKUP('Beleg 2'!$A6,Datenerfassung!$S$17:$W$21,4,FALSE)</f>
        <v>#N/A</v>
      </c>
      <c r="D6" s="27" t="e">
        <f>VLOOKUP('Beleg 2'!$A6,Datenerfassung!$S$17:$W$21,5,FALSE)</f>
        <v>#N/A</v>
      </c>
      <c r="E6" s="16"/>
      <c r="F6" s="16"/>
      <c r="G6" s="19" t="str">
        <f>IF(ISNA(B6),"",B6)</f>
        <v/>
      </c>
      <c r="H6" s="15" t="str">
        <f t="shared" ref="H6:H9" si="0">IF(ISNA(C6),"",C6)</f>
        <v/>
      </c>
      <c r="I6" s="17" t="str">
        <f>IF(ISNA(D6),"",D6*100)</f>
        <v/>
      </c>
    </row>
    <row r="7" spans="1:9" s="5" customFormat="1" ht="22.5" customHeight="1" x14ac:dyDescent="0.25">
      <c r="A7" s="26">
        <v>2</v>
      </c>
      <c r="B7" s="27" t="e">
        <f>VLOOKUP('Beleg 2'!$A7,Datenerfassung!$S$17:$W$21,3,FALSE)</f>
        <v>#N/A</v>
      </c>
      <c r="C7" s="27" t="e">
        <f>VLOOKUP('Beleg 2'!$A7,Datenerfassung!$S$17:$W$21,4,FALSE)</f>
        <v>#N/A</v>
      </c>
      <c r="D7" s="27" t="e">
        <f>VLOOKUP('Beleg 2'!$A7,Datenerfassung!$S$17:$W$21,5,FALSE)</f>
        <v>#N/A</v>
      </c>
      <c r="E7" s="16"/>
      <c r="F7" s="16"/>
      <c r="G7" s="19" t="str">
        <f t="shared" ref="G7:G9" si="1">IF(ISNA(B7),"",B7)</f>
        <v/>
      </c>
      <c r="H7" s="15" t="str">
        <f t="shared" si="0"/>
        <v/>
      </c>
      <c r="I7" s="17" t="str">
        <f t="shared" ref="I7:I9" si="2">IF(ISNA(D7),"",D7*100)</f>
        <v/>
      </c>
    </row>
    <row r="8" spans="1:9" s="5" customFormat="1" ht="22.5" customHeight="1" x14ac:dyDescent="0.25">
      <c r="A8" s="26">
        <v>3</v>
      </c>
      <c r="B8" s="27" t="e">
        <f>VLOOKUP('Beleg 2'!$A8,Datenerfassung!$S$17:$W$21,3,FALSE)</f>
        <v>#N/A</v>
      </c>
      <c r="C8" s="27" t="e">
        <f>VLOOKUP('Beleg 2'!$A8,Datenerfassung!$S$17:$W$21,4,FALSE)</f>
        <v>#N/A</v>
      </c>
      <c r="D8" s="27" t="e">
        <f>VLOOKUP('Beleg 2'!$A8,Datenerfassung!$S$17:$W$21,5,FALSE)</f>
        <v>#N/A</v>
      </c>
      <c r="E8" s="16"/>
      <c r="F8" s="16"/>
      <c r="G8" s="19" t="str">
        <f t="shared" si="1"/>
        <v/>
      </c>
      <c r="H8" s="15" t="str">
        <f t="shared" si="0"/>
        <v/>
      </c>
      <c r="I8" s="17" t="str">
        <f t="shared" si="2"/>
        <v/>
      </c>
    </row>
    <row r="9" spans="1:9" s="5" customFormat="1" ht="22.5" customHeight="1" x14ac:dyDescent="0.25">
      <c r="A9" s="26">
        <v>4</v>
      </c>
      <c r="B9" s="27" t="e">
        <f>VLOOKUP('Beleg 2'!$A9,Datenerfassung!$S$17:$W$21,3,FALSE)</f>
        <v>#N/A</v>
      </c>
      <c r="C9" s="27" t="e">
        <f>VLOOKUP('Beleg 2'!$A9,Datenerfassung!$S$17:$W$21,4,FALSE)</f>
        <v>#N/A</v>
      </c>
      <c r="D9" s="27" t="e">
        <f>VLOOKUP('Beleg 2'!$A9,Datenerfassung!$S$17:$W$21,5,FALSE)</f>
        <v>#N/A</v>
      </c>
      <c r="E9" s="16"/>
      <c r="F9" s="16"/>
      <c r="G9" s="19" t="str">
        <f t="shared" si="1"/>
        <v/>
      </c>
      <c r="H9" s="15" t="str">
        <f t="shared" si="0"/>
        <v/>
      </c>
      <c r="I9" s="17" t="str">
        <f t="shared" si="2"/>
        <v/>
      </c>
    </row>
    <row r="10" spans="1:9" ht="67.5" customHeight="1" x14ac:dyDescent="0.25"/>
    <row r="11" spans="1:9" ht="15.75" x14ac:dyDescent="0.25">
      <c r="E11" s="18">
        <f>Datenerfassung!F15</f>
        <v>0</v>
      </c>
      <c r="F11" s="12">
        <f>Datenerfassung!B2</f>
        <v>0</v>
      </c>
    </row>
  </sheetData>
  <sheetProtection algorithmName="SHA-512" hashValue="Vxsu5wzPNSwj+r1VWkH9cR/xVDiesHbYyYAnTMnaF9JjaBcqVoZrD8iAwSIwKQmYHRMPCTw7HziI8bZ9JLEARg==" saltValue="Q+iZyHfpBzMaXMvvP/UsSQ==" spinCount="100000" sheet="1" selectLockedCells="1" selectUnlockedCells="1"/>
  <mergeCells count="1">
    <mergeCell ref="H3:I3"/>
  </mergeCells>
  <pageMargins left="2.4015748031496065" right="0.19685039370078741" top="0.39370078740157483" bottom="0.78740157480314965" header="0"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
  <sheetViews>
    <sheetView topLeftCell="E1" workbookViewId="0">
      <selection sqref="A1:D1048576"/>
    </sheetView>
  </sheetViews>
  <sheetFormatPr baseColWidth="10" defaultColWidth="11.44140625" defaultRowHeight="15.6" x14ac:dyDescent="0.3"/>
  <cols>
    <col min="1" max="1" width="5.5546875" style="25" hidden="1" customWidth="1"/>
    <col min="2" max="2" width="12.6640625" style="25" hidden="1" customWidth="1"/>
    <col min="3" max="3" width="9.88671875" style="25" hidden="1" customWidth="1"/>
    <col min="4" max="4" width="8.44140625" style="25" hidden="1" customWidth="1"/>
    <col min="5" max="5" width="12.6640625" style="12" bestFit="1" customWidth="1"/>
    <col min="6" max="6" width="18.109375" style="12" customWidth="1"/>
    <col min="7" max="7" width="12" style="12" customWidth="1"/>
    <col min="8" max="8" width="6.6640625" style="12" customWidth="1"/>
    <col min="9" max="9" width="7.6640625" style="12" customWidth="1"/>
    <col min="10" max="16384" width="11.44140625" style="4"/>
  </cols>
  <sheetData>
    <row r="1" spans="1:9" ht="15.75" x14ac:dyDescent="0.25">
      <c r="I1" s="13" t="str">
        <f>IF(OR(ROUND(Datenerfassung!A2/10000000, 0) = 30, Datenerfassung!A2 &lt; 10000000), CONCATENATE("+",TEXT(MOD(Datenerfassung!A2,10000000),"0000000"),"+"), TEXT(Datenerfassung!A2,"000000000"))</f>
        <v>+0000000+</v>
      </c>
    </row>
    <row r="2" spans="1:9" ht="12" customHeight="1" x14ac:dyDescent="0.25"/>
    <row r="3" spans="1:9" ht="15.75" x14ac:dyDescent="0.25">
      <c r="G3" s="21">
        <v>0</v>
      </c>
      <c r="H3" s="55">
        <f>SUM(I6:I9)/100</f>
        <v>0</v>
      </c>
      <c r="I3" s="55"/>
    </row>
    <row r="4" spans="1:9" ht="10.5" customHeight="1" x14ac:dyDescent="0.25">
      <c r="I4" s="14"/>
    </row>
    <row r="5" spans="1:9" ht="15.75" hidden="1" x14ac:dyDescent="0.25">
      <c r="A5" s="25" t="s">
        <v>15</v>
      </c>
      <c r="B5" s="25" t="s">
        <v>0</v>
      </c>
      <c r="C5" s="25" t="s">
        <v>1</v>
      </c>
      <c r="D5" s="25" t="s">
        <v>16</v>
      </c>
      <c r="G5" s="12" t="s">
        <v>0</v>
      </c>
      <c r="H5" s="12" t="s">
        <v>1</v>
      </c>
      <c r="I5" s="12" t="s">
        <v>16</v>
      </c>
    </row>
    <row r="6" spans="1:9" s="5" customFormat="1" ht="22.5" customHeight="1" x14ac:dyDescent="0.25">
      <c r="A6" s="26">
        <v>1</v>
      </c>
      <c r="B6" s="27" t="e">
        <f>VLOOKUP('Beleg 3'!$A6,Datenerfassung!$S$26:$W$30,3,FALSE)</f>
        <v>#N/A</v>
      </c>
      <c r="C6" s="27" t="e">
        <f>VLOOKUP('Beleg 3'!$A6,Datenerfassung!$S$26:$W$30,4,FALSE)</f>
        <v>#N/A</v>
      </c>
      <c r="D6" s="27" t="e">
        <f>VLOOKUP('Beleg 3'!$A6,Datenerfassung!$S$26:$W$30,5,FALSE)</f>
        <v>#N/A</v>
      </c>
      <c r="E6" s="16"/>
      <c r="F6" s="16"/>
      <c r="G6" s="19" t="str">
        <f>IF(ISNA(B6),"",B6)</f>
        <v/>
      </c>
      <c r="H6" s="15" t="str">
        <f t="shared" ref="H6:H9" si="0">IF(ISNA(C6),"",C6)</f>
        <v/>
      </c>
      <c r="I6" s="17" t="str">
        <f>IF(ISNA(D6),"",D6*100)</f>
        <v/>
      </c>
    </row>
    <row r="7" spans="1:9" s="5" customFormat="1" ht="22.5" customHeight="1" x14ac:dyDescent="0.25">
      <c r="A7" s="26">
        <v>2</v>
      </c>
      <c r="B7" s="27" t="e">
        <f>VLOOKUP('Beleg 3'!$A7,Datenerfassung!$S$26:$W$30,3,FALSE)</f>
        <v>#N/A</v>
      </c>
      <c r="C7" s="27" t="e">
        <f>VLOOKUP('Beleg 3'!$A7,Datenerfassung!$S$26:$W$30,4,FALSE)</f>
        <v>#N/A</v>
      </c>
      <c r="D7" s="27" t="e">
        <f>VLOOKUP('Beleg 3'!$A7,Datenerfassung!$S$26:$W$30,5,FALSE)</f>
        <v>#N/A</v>
      </c>
      <c r="E7" s="16"/>
      <c r="F7" s="16"/>
      <c r="G7" s="19" t="str">
        <f t="shared" ref="G7:G9" si="1">IF(ISNA(B7),"",B7)</f>
        <v/>
      </c>
      <c r="H7" s="15" t="str">
        <f t="shared" si="0"/>
        <v/>
      </c>
      <c r="I7" s="17" t="str">
        <f t="shared" ref="I7:I9" si="2">IF(ISNA(D7),"",D7*100)</f>
        <v/>
      </c>
    </row>
    <row r="8" spans="1:9" s="5" customFormat="1" ht="22.5" customHeight="1" x14ac:dyDescent="0.25">
      <c r="A8" s="26">
        <v>3</v>
      </c>
      <c r="B8" s="27" t="e">
        <f>VLOOKUP('Beleg 3'!$A8,Datenerfassung!$S$26:$W$30,3,FALSE)</f>
        <v>#N/A</v>
      </c>
      <c r="C8" s="27" t="e">
        <f>VLOOKUP('Beleg 3'!$A8,Datenerfassung!$S$26:$W$30,4,FALSE)</f>
        <v>#N/A</v>
      </c>
      <c r="D8" s="27" t="e">
        <f>VLOOKUP('Beleg 3'!$A8,Datenerfassung!$S$26:$W$30,5,FALSE)</f>
        <v>#N/A</v>
      </c>
      <c r="E8" s="16"/>
      <c r="F8" s="16"/>
      <c r="G8" s="19" t="str">
        <f t="shared" si="1"/>
        <v/>
      </c>
      <c r="H8" s="15" t="str">
        <f t="shared" si="0"/>
        <v/>
      </c>
      <c r="I8" s="17" t="str">
        <f t="shared" si="2"/>
        <v/>
      </c>
    </row>
    <row r="9" spans="1:9" s="5" customFormat="1" ht="22.5" customHeight="1" x14ac:dyDescent="0.25">
      <c r="A9" s="26">
        <v>4</v>
      </c>
      <c r="B9" s="27" t="e">
        <f>VLOOKUP('Beleg 3'!$A9,Datenerfassung!$S$26:$W$30,3,FALSE)</f>
        <v>#N/A</v>
      </c>
      <c r="C9" s="27" t="e">
        <f>VLOOKUP('Beleg 3'!$A9,Datenerfassung!$S$26:$W$30,4,FALSE)</f>
        <v>#N/A</v>
      </c>
      <c r="D9" s="27" t="e">
        <f>VLOOKUP('Beleg 3'!$A9,Datenerfassung!$S$26:$W$30,5,FALSE)</f>
        <v>#N/A</v>
      </c>
      <c r="E9" s="16"/>
      <c r="F9" s="16"/>
      <c r="G9" s="19" t="str">
        <f t="shared" si="1"/>
        <v/>
      </c>
      <c r="H9" s="15" t="str">
        <f t="shared" si="0"/>
        <v/>
      </c>
      <c r="I9" s="17" t="str">
        <f t="shared" si="2"/>
        <v/>
      </c>
    </row>
    <row r="10" spans="1:9" ht="67.5" customHeight="1" x14ac:dyDescent="0.25"/>
    <row r="11" spans="1:9" ht="15.75" x14ac:dyDescent="0.25">
      <c r="E11" s="18">
        <f>Datenerfassung!F24</f>
        <v>0</v>
      </c>
      <c r="F11" s="12">
        <f>Datenerfassung!B2</f>
        <v>0</v>
      </c>
    </row>
  </sheetData>
  <sheetProtection algorithmName="SHA-512" hashValue="UGUpp7FXtqBHrS2XVX7oP2b+VzenEwvgBapCb3lrkoMRRcvz62WfA0RO1WGaTJaGAyuvv2cPKBYWhtwV+2sFdg==" saltValue="l5Cxua9lKyV+8NXxZ6Zvdw==" spinCount="100000" sheet="1" selectLockedCells="1" selectUnlockedCells="1"/>
  <mergeCells count="1">
    <mergeCell ref="H3:I3"/>
  </mergeCells>
  <pageMargins left="2.4015748031496065" right="0.19685039370078741" top="0.39370078740157483" bottom="0.78740157480314965" header="0"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
  <sheetViews>
    <sheetView topLeftCell="E1" workbookViewId="0">
      <selection activeCell="K42" sqref="K42:K46"/>
    </sheetView>
  </sheetViews>
  <sheetFormatPr baseColWidth="10" defaultColWidth="11.44140625" defaultRowHeight="15.6" x14ac:dyDescent="0.3"/>
  <cols>
    <col min="1" max="1" width="5.5546875" style="25" hidden="1" customWidth="1"/>
    <col min="2" max="2" width="12.6640625" style="25" hidden="1" customWidth="1"/>
    <col min="3" max="3" width="9.88671875" style="25" hidden="1" customWidth="1"/>
    <col min="4" max="4" width="8.44140625" style="25" hidden="1" customWidth="1"/>
    <col min="5" max="5" width="12.6640625" style="12" bestFit="1" customWidth="1"/>
    <col min="6" max="6" width="18.109375" style="12" customWidth="1"/>
    <col min="7" max="7" width="12" style="12" customWidth="1"/>
    <col min="8" max="8" width="6.6640625" style="12" customWidth="1"/>
    <col min="9" max="9" width="7.6640625" style="12" customWidth="1"/>
    <col min="10" max="16384" width="11.44140625" style="4"/>
  </cols>
  <sheetData>
    <row r="1" spans="1:9" ht="15.75" x14ac:dyDescent="0.25">
      <c r="I1" s="13" t="str">
        <f>IF(OR(ROUND(Datenerfassung!A2/10000000, 0) = 30, Datenerfassung!A2 &lt; 10000000), CONCATENATE("+",TEXT(MOD(Datenerfassung!A2,10000000),"0000000"),"+"), TEXT(Datenerfassung!A2,"000000000"))</f>
        <v>+0000000+</v>
      </c>
    </row>
    <row r="2" spans="1:9" ht="12" customHeight="1" x14ac:dyDescent="0.25"/>
    <row r="3" spans="1:9" ht="15.75" x14ac:dyDescent="0.25">
      <c r="G3" s="21">
        <v>0</v>
      </c>
      <c r="H3" s="55">
        <f>SUM(I6:I9)/100</f>
        <v>0</v>
      </c>
      <c r="I3" s="55"/>
    </row>
    <row r="4" spans="1:9" ht="10.5" customHeight="1" x14ac:dyDescent="0.25">
      <c r="I4" s="14"/>
    </row>
    <row r="5" spans="1:9" ht="15.75" hidden="1" x14ac:dyDescent="0.25">
      <c r="A5" s="25" t="s">
        <v>15</v>
      </c>
      <c r="B5" s="25" t="s">
        <v>0</v>
      </c>
      <c r="C5" s="25" t="s">
        <v>1</v>
      </c>
      <c r="D5" s="25" t="s">
        <v>16</v>
      </c>
      <c r="G5" s="12" t="s">
        <v>0</v>
      </c>
      <c r="H5" s="12" t="s">
        <v>1</v>
      </c>
      <c r="I5" s="12" t="s">
        <v>16</v>
      </c>
    </row>
    <row r="6" spans="1:9" s="5" customFormat="1" ht="22.5" customHeight="1" x14ac:dyDescent="0.25">
      <c r="A6" s="26">
        <v>1</v>
      </c>
      <c r="B6" s="27" t="e">
        <f>VLOOKUP('Beleg 4'!$A6,Datenerfassung!$S$35:$W$39,3,FALSE)</f>
        <v>#N/A</v>
      </c>
      <c r="C6" s="27" t="e">
        <f>VLOOKUP('Beleg 4'!$A6,Datenerfassung!$S$35:$W$39,4,FALSE)</f>
        <v>#N/A</v>
      </c>
      <c r="D6" s="27" t="e">
        <f>VLOOKUP('Beleg 4'!$A6,Datenerfassung!$S$35:$W$39,5,FALSE)</f>
        <v>#N/A</v>
      </c>
      <c r="E6" s="16"/>
      <c r="F6" s="16"/>
      <c r="G6" s="19" t="str">
        <f>IF(ISNA(B6),"",B6)</f>
        <v/>
      </c>
      <c r="H6" s="15" t="str">
        <f t="shared" ref="H6:H9" si="0">IF(ISNA(C6),"",C6)</f>
        <v/>
      </c>
      <c r="I6" s="17" t="str">
        <f>IF(ISNA(D6),"",D6*100)</f>
        <v/>
      </c>
    </row>
    <row r="7" spans="1:9" s="5" customFormat="1" ht="22.5" customHeight="1" x14ac:dyDescent="0.25">
      <c r="A7" s="26">
        <v>2</v>
      </c>
      <c r="B7" s="27" t="e">
        <f>VLOOKUP('Beleg 4'!$A7,Datenerfassung!$S$35:$W$39,3,FALSE)</f>
        <v>#N/A</v>
      </c>
      <c r="C7" s="27" t="e">
        <f>VLOOKUP('Beleg 4'!$A7,Datenerfassung!$S$35:$W$39,4,FALSE)</f>
        <v>#N/A</v>
      </c>
      <c r="D7" s="27" t="e">
        <f>VLOOKUP('Beleg 4'!$A7,Datenerfassung!$S$35:$W$39,5,FALSE)</f>
        <v>#N/A</v>
      </c>
      <c r="E7" s="16"/>
      <c r="F7" s="16"/>
      <c r="G7" s="19" t="str">
        <f t="shared" ref="G7:G9" si="1">IF(ISNA(B7),"",B7)</f>
        <v/>
      </c>
      <c r="H7" s="15" t="str">
        <f t="shared" si="0"/>
        <v/>
      </c>
      <c r="I7" s="17" t="str">
        <f t="shared" ref="I7:I9" si="2">IF(ISNA(D7),"",D7*100)</f>
        <v/>
      </c>
    </row>
    <row r="8" spans="1:9" s="5" customFormat="1" ht="22.5" customHeight="1" x14ac:dyDescent="0.25">
      <c r="A8" s="26">
        <v>3</v>
      </c>
      <c r="B8" s="27" t="e">
        <f>VLOOKUP('Beleg 4'!$A8,Datenerfassung!$S$35:$W$39,3,FALSE)</f>
        <v>#N/A</v>
      </c>
      <c r="C8" s="27" t="e">
        <f>VLOOKUP('Beleg 4'!$A8,Datenerfassung!$S$35:$W$39,4,FALSE)</f>
        <v>#N/A</v>
      </c>
      <c r="D8" s="27" t="e">
        <f>VLOOKUP('Beleg 4'!$A8,Datenerfassung!$S$35:$W$39,5,FALSE)</f>
        <v>#N/A</v>
      </c>
      <c r="E8" s="16"/>
      <c r="F8" s="16"/>
      <c r="G8" s="19" t="str">
        <f t="shared" si="1"/>
        <v/>
      </c>
      <c r="H8" s="15" t="str">
        <f t="shared" si="0"/>
        <v/>
      </c>
      <c r="I8" s="17" t="str">
        <f t="shared" si="2"/>
        <v/>
      </c>
    </row>
    <row r="9" spans="1:9" s="5" customFormat="1" ht="22.5" customHeight="1" x14ac:dyDescent="0.25">
      <c r="A9" s="26">
        <v>4</v>
      </c>
      <c r="B9" s="27" t="e">
        <f>VLOOKUP('Beleg 4'!$A9,Datenerfassung!$S$35:$W$39,3,FALSE)</f>
        <v>#N/A</v>
      </c>
      <c r="C9" s="27" t="e">
        <f>VLOOKUP('Beleg 4'!$A9,Datenerfassung!$S$35:$W$39,4,FALSE)</f>
        <v>#N/A</v>
      </c>
      <c r="D9" s="27" t="e">
        <f>VLOOKUP('Beleg 4'!$A9,Datenerfassung!$S$35:$W$39,5,FALSE)</f>
        <v>#N/A</v>
      </c>
      <c r="E9" s="16"/>
      <c r="F9" s="16"/>
      <c r="G9" s="19" t="str">
        <f t="shared" si="1"/>
        <v/>
      </c>
      <c r="H9" s="15" t="str">
        <f t="shared" si="0"/>
        <v/>
      </c>
      <c r="I9" s="17" t="str">
        <f t="shared" si="2"/>
        <v/>
      </c>
    </row>
    <row r="10" spans="1:9" ht="67.5" customHeight="1" x14ac:dyDescent="0.25"/>
    <row r="11" spans="1:9" ht="15.75" x14ac:dyDescent="0.25">
      <c r="E11" s="18">
        <f>Datenerfassung!F33</f>
        <v>0</v>
      </c>
      <c r="F11" s="12">
        <f>Datenerfassung!B2</f>
        <v>0</v>
      </c>
    </row>
  </sheetData>
  <sheetProtection algorithmName="SHA-512" hashValue="Y2Y823y5sSpiPIXdq4aglYvY9T9Ki8KEeE3qavFaHFjK/saXGQoFk/UfeVzV5vO9bYinDiDoI/0a1ekgLJZkdQ==" saltValue="6skZz9A5Z2g5JYVOGL7Y5g==" spinCount="100000" sheet="1" selectLockedCells="1" selectUnlockedCells="1"/>
  <mergeCells count="1">
    <mergeCell ref="H3:I3"/>
  </mergeCells>
  <pageMargins left="2.4015748031496065" right="0.19685039370078741" top="0.39370078740157483" bottom="0.78740157480314965" header="0"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
  <sheetViews>
    <sheetView topLeftCell="E1" workbookViewId="0">
      <selection sqref="A1:D1048576"/>
    </sheetView>
  </sheetViews>
  <sheetFormatPr baseColWidth="10" defaultColWidth="11.44140625" defaultRowHeight="15.6" x14ac:dyDescent="0.3"/>
  <cols>
    <col min="1" max="1" width="5.5546875" style="25" hidden="1" customWidth="1"/>
    <col min="2" max="2" width="12.6640625" style="25" hidden="1" customWidth="1"/>
    <col min="3" max="3" width="9.88671875" style="25" hidden="1" customWidth="1"/>
    <col min="4" max="4" width="8.44140625" style="25" hidden="1" customWidth="1"/>
    <col min="5" max="5" width="12.6640625" style="12" bestFit="1" customWidth="1"/>
    <col min="6" max="6" width="18.109375" style="12" customWidth="1"/>
    <col min="7" max="7" width="12" style="12" customWidth="1"/>
    <col min="8" max="8" width="6.6640625" style="12" customWidth="1"/>
    <col min="9" max="9" width="7.6640625" style="12" customWidth="1"/>
    <col min="10" max="16384" width="11.44140625" style="4"/>
  </cols>
  <sheetData>
    <row r="1" spans="1:9" ht="15.75" x14ac:dyDescent="0.25">
      <c r="I1" s="13" t="str">
        <f>IF(OR(ROUND(Datenerfassung!A2/10000000, 0) = 30, Datenerfassung!A2 &lt; 10000000), CONCATENATE("+",TEXT(MOD(Datenerfassung!A2,10000000),"0000000"),"+"), TEXT(Datenerfassung!A2,"000000000"))</f>
        <v>+0000000+</v>
      </c>
    </row>
    <row r="2" spans="1:9" ht="12" customHeight="1" x14ac:dyDescent="0.25"/>
    <row r="3" spans="1:9" ht="15.75" x14ac:dyDescent="0.25">
      <c r="G3" s="21">
        <v>0</v>
      </c>
      <c r="H3" s="55">
        <f>SUM(I6:I9)/100</f>
        <v>0</v>
      </c>
      <c r="I3" s="55"/>
    </row>
    <row r="4" spans="1:9" ht="10.5" customHeight="1" x14ac:dyDescent="0.25">
      <c r="I4" s="14"/>
    </row>
    <row r="5" spans="1:9" ht="15.75" hidden="1" x14ac:dyDescent="0.25">
      <c r="A5" s="25" t="s">
        <v>15</v>
      </c>
      <c r="B5" s="25" t="s">
        <v>0</v>
      </c>
      <c r="C5" s="25" t="s">
        <v>1</v>
      </c>
      <c r="D5" s="25" t="s">
        <v>16</v>
      </c>
      <c r="G5" s="12" t="s">
        <v>0</v>
      </c>
      <c r="H5" s="12" t="s">
        <v>1</v>
      </c>
      <c r="I5" s="12" t="s">
        <v>16</v>
      </c>
    </row>
    <row r="6" spans="1:9" s="5" customFormat="1" ht="22.5" customHeight="1" x14ac:dyDescent="0.25">
      <c r="A6" s="26">
        <v>1</v>
      </c>
      <c r="B6" s="27" t="e">
        <f>VLOOKUP('Beleg 5'!$A6,Datenerfassung!$S$44:$W$48,3,FALSE)</f>
        <v>#N/A</v>
      </c>
      <c r="C6" s="27" t="e">
        <f>VLOOKUP('Beleg 5'!$A6,Datenerfassung!$S$44:$W$48,4,FALSE)</f>
        <v>#N/A</v>
      </c>
      <c r="D6" s="27" t="e">
        <f>VLOOKUP('Beleg 5'!$A6,Datenerfassung!$S$44:$W$48,5,FALSE)</f>
        <v>#N/A</v>
      </c>
      <c r="E6" s="16"/>
      <c r="F6" s="16"/>
      <c r="G6" s="19" t="str">
        <f>IF(ISNA(B6),"",B6)</f>
        <v/>
      </c>
      <c r="H6" s="15" t="str">
        <f t="shared" ref="H6:H9" si="0">IF(ISNA(C6),"",C6)</f>
        <v/>
      </c>
      <c r="I6" s="17" t="str">
        <f>IF(ISNA(D6),"",D6*100)</f>
        <v/>
      </c>
    </row>
    <row r="7" spans="1:9" s="5" customFormat="1" ht="22.5" customHeight="1" x14ac:dyDescent="0.25">
      <c r="A7" s="26">
        <v>2</v>
      </c>
      <c r="B7" s="27" t="e">
        <f>VLOOKUP('Beleg 5'!$A7,Datenerfassung!$S$44:$W$48,3,FALSE)</f>
        <v>#N/A</v>
      </c>
      <c r="C7" s="27" t="e">
        <f>VLOOKUP('Beleg 5'!$A7,Datenerfassung!$S$44:$W$48,4,FALSE)</f>
        <v>#N/A</v>
      </c>
      <c r="D7" s="27" t="e">
        <f>VLOOKUP('Beleg 5'!$A7,Datenerfassung!$S$44:$W$48,5,FALSE)</f>
        <v>#N/A</v>
      </c>
      <c r="E7" s="16"/>
      <c r="F7" s="16"/>
      <c r="G7" s="19" t="str">
        <f t="shared" ref="G7:G9" si="1">IF(ISNA(B7),"",B7)</f>
        <v/>
      </c>
      <c r="H7" s="15" t="str">
        <f t="shared" si="0"/>
        <v/>
      </c>
      <c r="I7" s="17" t="str">
        <f t="shared" ref="I7:I9" si="2">IF(ISNA(D7),"",D7*100)</f>
        <v/>
      </c>
    </row>
    <row r="8" spans="1:9" s="5" customFormat="1" ht="22.5" customHeight="1" x14ac:dyDescent="0.25">
      <c r="A8" s="26">
        <v>3</v>
      </c>
      <c r="B8" s="27" t="e">
        <f>VLOOKUP('Beleg 5'!$A8,Datenerfassung!$S$44:$W$48,3,FALSE)</f>
        <v>#N/A</v>
      </c>
      <c r="C8" s="27" t="e">
        <f>VLOOKUP('Beleg 5'!$A8,Datenerfassung!$S$44:$W$48,4,FALSE)</f>
        <v>#N/A</v>
      </c>
      <c r="D8" s="27" t="e">
        <f>VLOOKUP('Beleg 5'!$A8,Datenerfassung!$S$44:$W$48,5,FALSE)</f>
        <v>#N/A</v>
      </c>
      <c r="E8" s="16"/>
      <c r="F8" s="16"/>
      <c r="G8" s="19" t="str">
        <f t="shared" si="1"/>
        <v/>
      </c>
      <c r="H8" s="15" t="str">
        <f t="shared" si="0"/>
        <v/>
      </c>
      <c r="I8" s="17" t="str">
        <f t="shared" si="2"/>
        <v/>
      </c>
    </row>
    <row r="9" spans="1:9" s="5" customFormat="1" ht="22.5" customHeight="1" x14ac:dyDescent="0.25">
      <c r="A9" s="26">
        <v>4</v>
      </c>
      <c r="B9" s="27" t="e">
        <f>VLOOKUP('Beleg 5'!$A9,Datenerfassung!$S$44:$W$48,3,FALSE)</f>
        <v>#N/A</v>
      </c>
      <c r="C9" s="27" t="e">
        <f>VLOOKUP('Beleg 5'!$A9,Datenerfassung!$S$44:$W$48,4,FALSE)</f>
        <v>#N/A</v>
      </c>
      <c r="D9" s="27" t="e">
        <f>VLOOKUP('Beleg 5'!$A9,Datenerfassung!$S$44:$W$48,5,FALSE)</f>
        <v>#N/A</v>
      </c>
      <c r="E9" s="16"/>
      <c r="F9" s="16"/>
      <c r="G9" s="19" t="str">
        <f t="shared" si="1"/>
        <v/>
      </c>
      <c r="H9" s="15" t="str">
        <f t="shared" si="0"/>
        <v/>
      </c>
      <c r="I9" s="17" t="str">
        <f t="shared" si="2"/>
        <v/>
      </c>
    </row>
    <row r="10" spans="1:9" ht="67.5" customHeight="1" x14ac:dyDescent="0.25"/>
    <row r="11" spans="1:9" ht="15.75" x14ac:dyDescent="0.25">
      <c r="E11" s="18">
        <f>Datenerfassung!F42</f>
        <v>0</v>
      </c>
      <c r="F11" s="12">
        <f>Datenerfassung!B2</f>
        <v>0</v>
      </c>
    </row>
  </sheetData>
  <sheetProtection algorithmName="SHA-512" hashValue="JMNVDk7+tGw239qS3XoIhvCskxTrmnZ9m76SJeaHAH27LE5GLqScPe9ypahjHQyVXqnEx2KOfErfBCZpX+Txkg==" saltValue="O5FUKpfFUQeZxMvCzVBlRg==" spinCount="100000" sheet="1" selectLockedCells="1" selectUnlockedCells="1"/>
  <mergeCells count="1">
    <mergeCell ref="H3:I3"/>
  </mergeCells>
  <pageMargins left="2.4015748031496065" right="0.19685039370078741" top="0.39370078740157483" bottom="0.78740157480314965" header="0"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7</vt:i4>
      </vt:variant>
      <vt:variant>
        <vt:lpstr>Benannte Bereiche</vt:lpstr>
      </vt:variant>
      <vt:variant>
        <vt:i4>5</vt:i4>
      </vt:variant>
    </vt:vector>
  </HeadingPairs>
  <TitlesOfParts>
    <vt:vector size="12" baseType="lpstr">
      <vt:lpstr>ANLEITUNG</vt:lpstr>
      <vt:lpstr>Datenerfassung</vt:lpstr>
      <vt:lpstr>Beleg 1</vt:lpstr>
      <vt:lpstr>Beleg 2</vt:lpstr>
      <vt:lpstr>Beleg 3</vt:lpstr>
      <vt:lpstr>Beleg 4</vt:lpstr>
      <vt:lpstr>Beleg 5</vt:lpstr>
      <vt:lpstr>'Beleg 1'!Druckbereich</vt:lpstr>
      <vt:lpstr>'Beleg 2'!Druckbereich</vt:lpstr>
      <vt:lpstr>'Beleg 3'!Druckbereich</vt:lpstr>
      <vt:lpstr>'Beleg 4'!Druckbereich</vt:lpstr>
      <vt:lpstr>'Beleg 5'!Druckbereich</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Kallbach, Kai</dc:creator>
  <cp:lastModifiedBy>Mühlen</cp:lastModifiedBy>
  <cp:lastPrinted>2021-07-15T13:48:56Z</cp:lastPrinted>
  <dcterms:created xsi:type="dcterms:W3CDTF">2021-05-27T15:53:30Z</dcterms:created>
  <dcterms:modified xsi:type="dcterms:W3CDTF">2022-01-05T07:32:49Z</dcterms:modified>
</cp:coreProperties>
</file>