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TEXTE\Fax-Mailing-AK\2021\"/>
    </mc:Choice>
  </mc:AlternateContent>
  <xr:revisionPtr revIDLastSave="0" documentId="8_{40048BAC-5BBC-4FC9-9CF6-EB0606D2DF61}" xr6:coauthVersionLast="45" xr6:coauthVersionMax="45" xr10:uidLastSave="{00000000-0000-0000-0000-000000000000}"/>
  <bookViews>
    <workbookView xWindow="-120" yWindow="-120" windowWidth="29040" windowHeight="15840" tabRatio="528" xr2:uid="{00000000-000D-0000-FFFF-FFFF00000000}"/>
  </bookViews>
  <sheets>
    <sheet name="ANLEITUNG" sheetId="4" r:id="rId1"/>
    <sheet name="Datenerfassung" sheetId="1" r:id="rId2"/>
    <sheet name="Beleg 1" sheetId="3" r:id="rId3"/>
    <sheet name="Beleg 2" sheetId="5" r:id="rId4"/>
    <sheet name="Beleg 3" sheetId="9" r:id="rId5"/>
    <sheet name="Beleg 4" sheetId="10" r:id="rId6"/>
    <sheet name="Beleg 5" sheetId="11" r:id="rId7"/>
  </sheets>
  <definedNames>
    <definedName name="_xlnm.Print_Area" localSheetId="2">'Beleg 1'!$E$1:$I$11</definedName>
    <definedName name="_xlnm.Print_Area" localSheetId="3">'Beleg 2'!$E$1:$I$11</definedName>
    <definedName name="_xlnm.Print_Area" localSheetId="4">'Beleg 3'!$E$1:$I$11</definedName>
    <definedName name="_xlnm.Print_Area" localSheetId="5">'Beleg 4'!$E$1:$I$11</definedName>
    <definedName name="_xlnm.Print_Area" localSheetId="6">'Beleg 5'!$E$1:$I$11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6" i="1" l="1"/>
  <c r="X28" i="1"/>
  <c r="X20" i="1"/>
  <c r="X12" i="1"/>
  <c r="X4" i="1"/>
  <c r="D7" i="1" l="1"/>
  <c r="X7" i="1" s="1"/>
  <c r="D6" i="1"/>
  <c r="X6" i="1" s="1"/>
  <c r="D41" i="1"/>
  <c r="X41" i="1" s="1"/>
  <c r="D40" i="1"/>
  <c r="X40" i="1" s="1"/>
  <c r="D39" i="1"/>
  <c r="X39" i="1" s="1"/>
  <c r="D38" i="1"/>
  <c r="X38" i="1" s="1"/>
  <c r="D33" i="1"/>
  <c r="X33" i="1" s="1"/>
  <c r="D32" i="1"/>
  <c r="X32" i="1" s="1"/>
  <c r="D31" i="1"/>
  <c r="X31" i="1" s="1"/>
  <c r="D30" i="1"/>
  <c r="X30" i="1" s="1"/>
  <c r="D25" i="1"/>
  <c r="X25" i="1" s="1"/>
  <c r="D24" i="1"/>
  <c r="X24" i="1" s="1"/>
  <c r="D23" i="1"/>
  <c r="X23" i="1" s="1"/>
  <c r="D22" i="1"/>
  <c r="X22" i="1" s="1"/>
  <c r="D17" i="1"/>
  <c r="X17" i="1" s="1"/>
  <c r="D16" i="1"/>
  <c r="X16" i="1" s="1"/>
  <c r="D15" i="1"/>
  <c r="X15" i="1" s="1"/>
  <c r="D14" i="1"/>
  <c r="X14" i="1" s="1"/>
  <c r="D8" i="1"/>
  <c r="X8" i="1" s="1"/>
  <c r="D9" i="1"/>
  <c r="X9" i="1" s="1"/>
  <c r="J41" i="1"/>
  <c r="L41" i="1" s="1"/>
  <c r="J40" i="1"/>
  <c r="K40" i="1" s="1"/>
  <c r="J39" i="1"/>
  <c r="J38" i="1"/>
  <c r="J33" i="1"/>
  <c r="L33" i="1" s="1"/>
  <c r="J32" i="1"/>
  <c r="K32" i="1" s="1"/>
  <c r="J31" i="1"/>
  <c r="J30" i="1"/>
  <c r="J25" i="1"/>
  <c r="K25" i="1" s="1"/>
  <c r="J24" i="1"/>
  <c r="M24" i="1" s="1"/>
  <c r="J23" i="1"/>
  <c r="M23" i="1" s="1"/>
  <c r="J22" i="1"/>
  <c r="L22" i="1" s="1"/>
  <c r="J17" i="1"/>
  <c r="L17" i="1" s="1"/>
  <c r="J16" i="1"/>
  <c r="K16" i="1" s="1"/>
  <c r="J15" i="1"/>
  <c r="M15" i="1" s="1"/>
  <c r="J14" i="1"/>
  <c r="M14" i="1" s="1"/>
  <c r="J9" i="1"/>
  <c r="M9" i="1" s="1"/>
  <c r="J8" i="1"/>
  <c r="M8" i="1" s="1"/>
  <c r="J7" i="1"/>
  <c r="L7" i="1" s="1"/>
  <c r="J6" i="1"/>
  <c r="M6" i="1" s="1"/>
  <c r="K24" i="1" l="1"/>
  <c r="L25" i="1"/>
  <c r="K15" i="1"/>
  <c r="L16" i="1"/>
  <c r="K23" i="1"/>
  <c r="L24" i="1"/>
  <c r="M25" i="1"/>
  <c r="K31" i="1"/>
  <c r="L32" i="1"/>
  <c r="M33" i="1"/>
  <c r="K39" i="1"/>
  <c r="L40" i="1"/>
  <c r="M41" i="1"/>
  <c r="K22" i="1"/>
  <c r="L23" i="1"/>
  <c r="K30" i="1"/>
  <c r="L31" i="1"/>
  <c r="M32" i="1"/>
  <c r="K38" i="1"/>
  <c r="L39" i="1"/>
  <c r="M40" i="1"/>
  <c r="M22" i="1"/>
  <c r="M30" i="1"/>
  <c r="M38" i="1"/>
  <c r="L30" i="1"/>
  <c r="M31" i="1"/>
  <c r="K33" i="1"/>
  <c r="L38" i="1"/>
  <c r="M39" i="1"/>
  <c r="K41" i="1"/>
  <c r="L8" i="1"/>
  <c r="L6" i="1"/>
  <c r="K7" i="1"/>
  <c r="K6" i="1"/>
  <c r="L9" i="1"/>
  <c r="K8" i="1"/>
  <c r="K9" i="1"/>
  <c r="M7" i="1"/>
  <c r="M17" i="1"/>
  <c r="K14" i="1"/>
  <c r="L15" i="1"/>
  <c r="M16" i="1"/>
  <c r="L14" i="1"/>
  <c r="K17" i="1"/>
  <c r="E6" i="1"/>
  <c r="F11" i="11" l="1"/>
  <c r="I1" i="11"/>
  <c r="F11" i="10"/>
  <c r="I1" i="10"/>
  <c r="F11" i="9"/>
  <c r="I1" i="9"/>
  <c r="F11" i="5"/>
  <c r="I1" i="5"/>
  <c r="R7" i="1" l="1"/>
  <c r="R8" i="1"/>
  <c r="R9" i="1"/>
  <c r="Q41" i="1" l="1"/>
  <c r="Q40" i="1"/>
  <c r="Q39" i="1"/>
  <c r="Q38" i="1"/>
  <c r="Q33" i="1"/>
  <c r="Q32" i="1"/>
  <c r="Q31" i="1"/>
  <c r="Q30" i="1"/>
  <c r="Q25" i="1"/>
  <c r="Q24" i="1"/>
  <c r="Q23" i="1"/>
  <c r="Q22" i="1"/>
  <c r="Q17" i="1"/>
  <c r="Q16" i="1"/>
  <c r="Q15" i="1"/>
  <c r="Q14" i="1"/>
  <c r="Q7" i="1"/>
  <c r="Q8" i="1"/>
  <c r="Q9" i="1"/>
  <c r="Q6" i="1"/>
  <c r="R6" i="1"/>
  <c r="F11" i="3"/>
  <c r="E11" i="5"/>
  <c r="E11" i="3"/>
  <c r="E11" i="11" l="1"/>
  <c r="E11" i="9"/>
  <c r="R16" i="1"/>
  <c r="R17" i="1"/>
  <c r="R14" i="1"/>
  <c r="R15" i="1"/>
  <c r="E11" i="10" l="1"/>
  <c r="R31" i="1"/>
  <c r="R32" i="1"/>
  <c r="R33" i="1"/>
  <c r="R30" i="1"/>
  <c r="R23" i="1"/>
  <c r="R24" i="1"/>
  <c r="R22" i="1"/>
  <c r="R25" i="1"/>
  <c r="I1" i="3"/>
  <c r="S38" i="1"/>
  <c r="S30" i="1"/>
  <c r="S22" i="1"/>
  <c r="S14" i="1"/>
  <c r="S6" i="1"/>
  <c r="C42" i="1"/>
  <c r="C34" i="1"/>
  <c r="C26" i="1"/>
  <c r="C18" i="1"/>
  <c r="E7" i="1" l="1"/>
  <c r="G7" i="1" s="1"/>
  <c r="N7" i="1" s="1"/>
  <c r="G6" i="1"/>
  <c r="N6" i="1" s="1"/>
  <c r="V38" i="1"/>
  <c r="V22" i="1"/>
  <c r="V14" i="1"/>
  <c r="R39" i="1"/>
  <c r="R41" i="1"/>
  <c r="R38" i="1"/>
  <c r="R40" i="1"/>
  <c r="U22" i="1"/>
  <c r="T30" i="1"/>
  <c r="T31" i="1" s="1"/>
  <c r="T6" i="1"/>
  <c r="U30" i="1"/>
  <c r="U6" i="1"/>
  <c r="V30" i="1"/>
  <c r="V6" i="1"/>
  <c r="T14" i="1"/>
  <c r="T15" i="1" s="1"/>
  <c r="U14" i="1"/>
  <c r="T38" i="1"/>
  <c r="T39" i="1" s="1"/>
  <c r="U38" i="1"/>
  <c r="T22" i="1"/>
  <c r="T23" i="1" s="1"/>
  <c r="H6" i="1"/>
  <c r="O6" i="1" s="1"/>
  <c r="I6" i="1"/>
  <c r="P6" i="1" s="1"/>
  <c r="C10" i="1"/>
  <c r="F6" i="1" l="1"/>
  <c r="E8" i="1"/>
  <c r="I8" i="1" s="1"/>
  <c r="P8" i="1" s="1"/>
  <c r="I7" i="1"/>
  <c r="P7" i="1" s="1"/>
  <c r="H7" i="1"/>
  <c r="O7" i="1" s="1"/>
  <c r="F7" i="1" s="1"/>
  <c r="S39" i="1"/>
  <c r="S15" i="1"/>
  <c r="V15" i="1" s="1"/>
  <c r="T7" i="1"/>
  <c r="S7" i="1"/>
  <c r="S31" i="1"/>
  <c r="S23" i="1"/>
  <c r="S40" i="1"/>
  <c r="T40" i="1"/>
  <c r="S32" i="1"/>
  <c r="T32" i="1"/>
  <c r="S24" i="1"/>
  <c r="T24" i="1"/>
  <c r="T16" i="1"/>
  <c r="S16" i="1"/>
  <c r="G8" i="1" l="1"/>
  <c r="N8" i="1" s="1"/>
  <c r="W7" i="1"/>
  <c r="E9" i="1"/>
  <c r="E14" i="1" s="1"/>
  <c r="H8" i="1"/>
  <c r="O8" i="1" s="1"/>
  <c r="U39" i="1"/>
  <c r="U31" i="1"/>
  <c r="U15" i="1"/>
  <c r="U23" i="1"/>
  <c r="V39" i="1"/>
  <c r="V31" i="1"/>
  <c r="W6" i="1"/>
  <c r="V23" i="1"/>
  <c r="U7" i="1"/>
  <c r="V7" i="1"/>
  <c r="T8" i="1"/>
  <c r="S8" i="1"/>
  <c r="V32" i="1"/>
  <c r="U32" i="1"/>
  <c r="V40" i="1"/>
  <c r="U40" i="1"/>
  <c r="V24" i="1"/>
  <c r="U24" i="1"/>
  <c r="U16" i="1"/>
  <c r="V16" i="1"/>
  <c r="T41" i="1"/>
  <c r="S41" i="1"/>
  <c r="T33" i="1"/>
  <c r="S33" i="1"/>
  <c r="B6" i="10" s="1"/>
  <c r="G6" i="10" s="1"/>
  <c r="T25" i="1"/>
  <c r="S25" i="1"/>
  <c r="T17" i="1"/>
  <c r="S17" i="1"/>
  <c r="B8" i="11" l="1"/>
  <c r="G8" i="11" s="1"/>
  <c r="C8" i="11"/>
  <c r="H8" i="11" s="1"/>
  <c r="F8" i="1"/>
  <c r="W8" i="1" s="1"/>
  <c r="H9" i="1"/>
  <c r="O9" i="1" s="1"/>
  <c r="G9" i="1"/>
  <c r="N9" i="1" s="1"/>
  <c r="I9" i="1"/>
  <c r="P9" i="1" s="1"/>
  <c r="B7" i="5"/>
  <c r="G7" i="5" s="1"/>
  <c r="B7" i="11"/>
  <c r="G7" i="11" s="1"/>
  <c r="B6" i="11"/>
  <c r="G6" i="11" s="1"/>
  <c r="C7" i="11"/>
  <c r="H7" i="11" s="1"/>
  <c r="C7" i="10"/>
  <c r="H7" i="10" s="1"/>
  <c r="B8" i="10"/>
  <c r="G8" i="10" s="1"/>
  <c r="B7" i="10"/>
  <c r="G7" i="10" s="1"/>
  <c r="C6" i="10"/>
  <c r="H6" i="10" s="1"/>
  <c r="C8" i="10"/>
  <c r="H8" i="10" s="1"/>
  <c r="C8" i="9"/>
  <c r="H8" i="9" s="1"/>
  <c r="U8" i="1"/>
  <c r="V8" i="1"/>
  <c r="T9" i="1"/>
  <c r="S9" i="1"/>
  <c r="U33" i="1"/>
  <c r="B9" i="10" s="1"/>
  <c r="G9" i="10" s="1"/>
  <c r="V33" i="1"/>
  <c r="C9" i="10" s="1"/>
  <c r="H9" i="10" s="1"/>
  <c r="U41" i="1"/>
  <c r="B9" i="11" s="1"/>
  <c r="G9" i="11" s="1"/>
  <c r="V41" i="1"/>
  <c r="C9" i="11" s="1"/>
  <c r="H9" i="11" s="1"/>
  <c r="U25" i="1"/>
  <c r="B9" i="9" s="1"/>
  <c r="G9" i="9" s="1"/>
  <c r="V25" i="1"/>
  <c r="C9" i="9" s="1"/>
  <c r="H9" i="9" s="1"/>
  <c r="V17" i="1"/>
  <c r="C9" i="5" s="1"/>
  <c r="H9" i="5" s="1"/>
  <c r="U17" i="1"/>
  <c r="B9" i="5" s="1"/>
  <c r="G9" i="5" s="1"/>
  <c r="G14" i="1"/>
  <c r="N14" i="1" s="1"/>
  <c r="I14" i="1"/>
  <c r="P14" i="1" s="1"/>
  <c r="H14" i="1"/>
  <c r="O14" i="1" s="1"/>
  <c r="E15" i="1"/>
  <c r="F9" i="1" l="1"/>
  <c r="F10" i="1" s="1"/>
  <c r="F14" i="1"/>
  <c r="C7" i="9"/>
  <c r="H7" i="9" s="1"/>
  <c r="C6" i="11"/>
  <c r="H6" i="11" s="1"/>
  <c r="B6" i="5"/>
  <c r="G6" i="5" s="1"/>
  <c r="C6" i="5"/>
  <c r="H6" i="5" s="1"/>
  <c r="C7" i="5"/>
  <c r="H7" i="5" s="1"/>
  <c r="C8" i="5"/>
  <c r="H8" i="5" s="1"/>
  <c r="B8" i="5"/>
  <c r="G8" i="5" s="1"/>
  <c r="B6" i="9"/>
  <c r="G6" i="9" s="1"/>
  <c r="C6" i="9"/>
  <c r="H6" i="9" s="1"/>
  <c r="B7" i="9"/>
  <c r="G7" i="9" s="1"/>
  <c r="B8" i="9"/>
  <c r="G8" i="9" s="1"/>
  <c r="B6" i="3"/>
  <c r="G6" i="3" s="1"/>
  <c r="U9" i="1"/>
  <c r="B9" i="3" s="1"/>
  <c r="V9" i="1"/>
  <c r="C9" i="3" s="1"/>
  <c r="I15" i="1"/>
  <c r="P15" i="1" s="1"/>
  <c r="H15" i="1"/>
  <c r="O15" i="1" s="1"/>
  <c r="G15" i="1"/>
  <c r="N15" i="1" s="1"/>
  <c r="E16" i="1"/>
  <c r="F15" i="1" l="1"/>
  <c r="W15" i="1" s="1"/>
  <c r="W9" i="1"/>
  <c r="D6" i="3"/>
  <c r="I6" i="3" s="1"/>
  <c r="C6" i="3"/>
  <c r="H6" i="3" s="1"/>
  <c r="B7" i="3"/>
  <c r="G7" i="3" s="1"/>
  <c r="C7" i="3"/>
  <c r="H7" i="3" s="1"/>
  <c r="C8" i="3"/>
  <c r="H8" i="3" s="1"/>
  <c r="B8" i="3"/>
  <c r="G8" i="3" s="1"/>
  <c r="H9" i="3"/>
  <c r="G9" i="3"/>
  <c r="W14" i="1"/>
  <c r="I16" i="1"/>
  <c r="P16" i="1" s="1"/>
  <c r="H16" i="1"/>
  <c r="O16" i="1" s="1"/>
  <c r="G16" i="1"/>
  <c r="N16" i="1" s="1"/>
  <c r="E17" i="1"/>
  <c r="F16" i="1" l="1"/>
  <c r="D8" i="3"/>
  <c r="I8" i="3" s="1"/>
  <c r="D7" i="3"/>
  <c r="I7" i="3" s="1"/>
  <c r="D9" i="3"/>
  <c r="I9" i="3" s="1"/>
  <c r="I17" i="1"/>
  <c r="P17" i="1" s="1"/>
  <c r="H17" i="1"/>
  <c r="O17" i="1" s="1"/>
  <c r="E22" i="1"/>
  <c r="G17" i="1"/>
  <c r="N17" i="1" s="1"/>
  <c r="F17" i="1" l="1"/>
  <c r="H3" i="3"/>
  <c r="W16" i="1"/>
  <c r="E23" i="1"/>
  <c r="G22" i="1"/>
  <c r="N22" i="1" s="1"/>
  <c r="H22" i="1"/>
  <c r="O22" i="1" s="1"/>
  <c r="I22" i="1"/>
  <c r="P22" i="1" s="1"/>
  <c r="F22" i="1" l="1"/>
  <c r="F18" i="1"/>
  <c r="W17" i="1"/>
  <c r="D6" i="5" s="1"/>
  <c r="I6" i="5" s="1"/>
  <c r="H23" i="1"/>
  <c r="O23" i="1" s="1"/>
  <c r="G23" i="1"/>
  <c r="N23" i="1" s="1"/>
  <c r="E24" i="1"/>
  <c r="I23" i="1"/>
  <c r="P23" i="1" s="1"/>
  <c r="F23" i="1" l="1"/>
  <c r="W23" i="1" s="1"/>
  <c r="D9" i="5"/>
  <c r="I9" i="5" s="1"/>
  <c r="D7" i="5"/>
  <c r="I7" i="5" s="1"/>
  <c r="D8" i="5"/>
  <c r="I8" i="5" s="1"/>
  <c r="I24" i="1"/>
  <c r="P24" i="1" s="1"/>
  <c r="H24" i="1"/>
  <c r="O24" i="1" s="1"/>
  <c r="E25" i="1"/>
  <c r="G24" i="1"/>
  <c r="N24" i="1" s="1"/>
  <c r="W22" i="1"/>
  <c r="F24" i="1" l="1"/>
  <c r="W24" i="1" s="1"/>
  <c r="H3" i="5"/>
  <c r="E30" i="1"/>
  <c r="H25" i="1"/>
  <c r="O25" i="1" s="1"/>
  <c r="I25" i="1"/>
  <c r="P25" i="1" s="1"/>
  <c r="G25" i="1"/>
  <c r="N25" i="1" s="1"/>
  <c r="F25" i="1" l="1"/>
  <c r="E31" i="1"/>
  <c r="G30" i="1"/>
  <c r="N30" i="1" s="1"/>
  <c r="I30" i="1"/>
  <c r="P30" i="1" s="1"/>
  <c r="H30" i="1"/>
  <c r="O30" i="1" s="1"/>
  <c r="F30" i="1" l="1"/>
  <c r="W30" i="1" s="1"/>
  <c r="D6" i="10" s="1"/>
  <c r="I6" i="10" s="1"/>
  <c r="F26" i="1"/>
  <c r="W25" i="1"/>
  <c r="I31" i="1"/>
  <c r="P31" i="1" s="1"/>
  <c r="H31" i="1"/>
  <c r="O31" i="1" s="1"/>
  <c r="G31" i="1"/>
  <c r="N31" i="1" s="1"/>
  <c r="F31" i="1" s="1"/>
  <c r="E32" i="1"/>
  <c r="D7" i="9" l="1"/>
  <c r="I7" i="9" s="1"/>
  <c r="D6" i="9"/>
  <c r="I6" i="9" s="1"/>
  <c r="D9" i="9"/>
  <c r="I9" i="9" s="1"/>
  <c r="D8" i="9"/>
  <c r="I8" i="9" s="1"/>
  <c r="W31" i="1"/>
  <c r="D7" i="10" s="1"/>
  <c r="I7" i="10" s="1"/>
  <c r="I32" i="1"/>
  <c r="P32" i="1" s="1"/>
  <c r="G32" i="1"/>
  <c r="N32" i="1" s="1"/>
  <c r="H32" i="1"/>
  <c r="O32" i="1" s="1"/>
  <c r="E33" i="1"/>
  <c r="F32" i="1" l="1"/>
  <c r="W32" i="1" s="1"/>
  <c r="D8" i="10" s="1"/>
  <c r="I8" i="10" s="1"/>
  <c r="H3" i="9"/>
  <c r="E38" i="1"/>
  <c r="H33" i="1"/>
  <c r="O33" i="1" s="1"/>
  <c r="I33" i="1"/>
  <c r="P33" i="1" s="1"/>
  <c r="G33" i="1"/>
  <c r="N33" i="1" s="1"/>
  <c r="F33" i="1" s="1"/>
  <c r="E39" i="1" l="1"/>
  <c r="G38" i="1"/>
  <c r="N38" i="1" s="1"/>
  <c r="H38" i="1"/>
  <c r="O38" i="1" s="1"/>
  <c r="I38" i="1"/>
  <c r="P38" i="1" s="1"/>
  <c r="F38" i="1" l="1"/>
  <c r="W38" i="1" s="1"/>
  <c r="F34" i="1"/>
  <c r="W33" i="1"/>
  <c r="D9" i="10" s="1"/>
  <c r="H39" i="1"/>
  <c r="O39" i="1" s="1"/>
  <c r="G39" i="1"/>
  <c r="N39" i="1" s="1"/>
  <c r="E40" i="1"/>
  <c r="I39" i="1"/>
  <c r="P39" i="1" s="1"/>
  <c r="F39" i="1" l="1"/>
  <c r="W39" i="1" s="1"/>
  <c r="I9" i="10"/>
  <c r="H3" i="10" s="1"/>
  <c r="H40" i="1"/>
  <c r="O40" i="1" s="1"/>
  <c r="G40" i="1"/>
  <c r="N40" i="1" s="1"/>
  <c r="E41" i="1"/>
  <c r="I40" i="1"/>
  <c r="P40" i="1" s="1"/>
  <c r="F40" i="1" l="1"/>
  <c r="W40" i="1" s="1"/>
  <c r="I41" i="1"/>
  <c r="P41" i="1" s="1"/>
  <c r="H41" i="1"/>
  <c r="O41" i="1" s="1"/>
  <c r="G41" i="1"/>
  <c r="N41" i="1" s="1"/>
  <c r="F41" i="1" l="1"/>
  <c r="N44" i="1"/>
  <c r="O44" i="1"/>
  <c r="P44" i="1"/>
  <c r="I44" i="1"/>
  <c r="H44" i="1"/>
  <c r="G44" i="1"/>
  <c r="F42" i="1" l="1"/>
  <c r="W41" i="1"/>
  <c r="D7" i="11" l="1"/>
  <c r="I7" i="11" s="1"/>
  <c r="D8" i="11"/>
  <c r="I8" i="11" s="1"/>
  <c r="D9" i="11"/>
  <c r="I9" i="11" s="1"/>
  <c r="D6" i="11"/>
  <c r="I6" i="11" s="1"/>
  <c r="H3" i="11" l="1"/>
</calcChain>
</file>

<file path=xl/sharedStrings.xml><?xml version="1.0" encoding="utf-8"?>
<sst xmlns="http://schemas.openxmlformats.org/spreadsheetml/2006/main" count="152" uniqueCount="56">
  <si>
    <t>PZN</t>
  </si>
  <si>
    <t>Faktor</t>
  </si>
  <si>
    <t>Preis</t>
  </si>
  <si>
    <t>VAXZEVRIA COVID-19-Impfstoff AstraZeneca BUND</t>
  </si>
  <si>
    <t>COMIRNATY Konz.z.Her.e.Inj.-Disp. BioNTech BUND</t>
  </si>
  <si>
    <t>COVID-19 Vaccine Moderna Inj.-Disp. mRNA-1273 BUND</t>
  </si>
  <si>
    <t>COVID-19 Vaccine Janssen Injektionssuspension BUND</t>
  </si>
  <si>
    <t>Produkt</t>
  </si>
  <si>
    <t>Summe</t>
  </si>
  <si>
    <t>Apotheken-IK</t>
  </si>
  <si>
    <t>Apothekenname</t>
  </si>
  <si>
    <t>Arzt</t>
  </si>
  <si>
    <t>101 - 150 Stk</t>
  </si>
  <si>
    <t>&gt; 150 Stk</t>
  </si>
  <si>
    <t>Position</t>
  </si>
  <si>
    <t>max. Position</t>
  </si>
  <si>
    <t>POS</t>
  </si>
  <si>
    <t>Taxe</t>
  </si>
  <si>
    <t>Abgabedatum</t>
  </si>
  <si>
    <t>Impfbesteck</t>
  </si>
  <si>
    <t>Großhandel</t>
  </si>
  <si>
    <t>Vergütungsminderung Großhandel ab</t>
  </si>
  <si>
    <t>Vials</t>
  </si>
  <si>
    <t>Gesamtpreis (Brutto)</t>
  </si>
  <si>
    <t>Beleg 1</t>
  </si>
  <si>
    <t>Beleg 2</t>
  </si>
  <si>
    <t>Beleg 3</t>
  </si>
  <si>
    <t>Beleg 4</t>
  </si>
  <si>
    <t>Beleg 5</t>
  </si>
  <si>
    <t>&lt;= 100 Stk</t>
  </si>
  <si>
    <t>1.</t>
  </si>
  <si>
    <t>2.</t>
  </si>
  <si>
    <t>Prozess</t>
  </si>
  <si>
    <t>Ø</t>
  </si>
  <si>
    <t>3.</t>
  </si>
  <si>
    <t>Ausfüllen der Tabelle</t>
  </si>
  <si>
    <t>Der Faktor ist dabei jeweils die Anzahl der abgegebenen Vials.</t>
  </si>
  <si>
    <t>Die Apotheke trägt in die EXCEL-Datei ihr IK und ihren Apothekennamen in das Tabellenblatt "Datenerfassung" ein und speichert die Datei als Apotheken-Vorlage ab.</t>
  </si>
  <si>
    <t>Ausgefüllt werden ausschließlich die weißen Felder im Reiter "Datenerfassung" (Abgabedatum und Faktor). Alle anderen Felder sind für die Erfassung gesperrt.</t>
  </si>
  <si>
    <t>Unter den Reitern "Beleg 1" bis "Beleg 5" finden sich die Druckvorlagen für den Apothekenteil der bis zu 5 Impfstoffbelege für diesen Monat, die auf das jeweilige (Muster-16) Formular gedruckt werden müssen.</t>
  </si>
  <si>
    <t>Vergütungsanpassung Apotheke ab</t>
  </si>
  <si>
    <t>Einzelpreis (Netto)</t>
  </si>
  <si>
    <t>Netto</t>
  </si>
  <si>
    <t>Erstes mögliches Datum</t>
  </si>
  <si>
    <t>gerundet</t>
  </si>
  <si>
    <t>kumuliert</t>
  </si>
  <si>
    <t>Anleitung zur Taxierungshilfe (Version 3)</t>
  </si>
  <si>
    <t>"Impfstoffvergütung Betriebsärzte, Ärzte des Öffentlichen Gesundheits-</t>
  </si>
  <si>
    <t>dienstes (ÖDG), Ärzte in Krankenhäusern"</t>
  </si>
  <si>
    <t>Es wird ein Verzeichnis "Vorlagen" angelegt. Je Arzt wird eine Kopie der Dateivorlage eingestellt und mit dem Namen des Arztes oder mit dessen Fortbildungsnummer benannt. Der Name und/oder die Fortbildungsnummer des Arztes wird in die neue Dateivorlage in das Tabellenblatt "Datenerfassung" eingetragen. Somit ist am Ende im Vorlagenverzeichnis für jeden bekannten Arzt eine Vorlage vorhanden.</t>
  </si>
  <si>
    <t xml:space="preserve">Wird ein neuer Arzt beliefert, wird zunächst eine neue Vorlage im Vorlagenverzeichnis angelegt und danach ins entsprechende Monatsverzeichnis kopiert. </t>
  </si>
  <si>
    <t>Es müssen alle Impfstoffbelege, für die in einem Monat an einen Arzt Impfstoffe abgegeben wurden, in einer Tabelle unter dem Reiter „Datenerfassung“ erfasst werden. Nur so kann die Preisstaffel korrekt berechnet werden.</t>
  </si>
  <si>
    <t>EXCEL-Tabelle erstellt werden.</t>
  </si>
  <si>
    <r>
      <rPr>
        <b/>
        <u/>
        <sz val="11"/>
        <color theme="1"/>
        <rFont val="Calibri"/>
        <family val="2"/>
        <scheme val="minor"/>
      </rPr>
      <t>WICHTIG:</t>
    </r>
    <r>
      <rPr>
        <sz val="11"/>
        <color theme="1"/>
        <rFont val="Calibri"/>
        <family val="2"/>
        <scheme val="minor"/>
      </rPr>
      <t xml:space="preserve"> Es muss je Betriebsarzt, Arzt des ÖDG, Krankenhausarzt (im Folgenden nur "Arzt" genannt) und Monat eine </t>
    </r>
  </si>
  <si>
    <t>Nun wird je Monat ein Verzeichnis angelegt (z.B. Oktober_2021). Aus dem Vorlagenverzeichnis wird die entsprechende Arzt-Vorlage in das  Monatsverzeichnis kopiert und ausgefüllt (Abgabedatum und Faktor).</t>
  </si>
  <si>
    <t>Für den ersten belieferten Impfstoffbeleg werden die Faktorfelder unter der Überschrift „Beleg 1“ ausgefüllt, für den zweiten belieferten Impfstoffbeleg werden die Faktorfelder unter der Überschrift „Beleg 2“ ausgefüllt, für das dritte die unter Impfstoffbeleg 3 usw.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</si>
</sst>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d/mm/yy;@"/>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ourier New"/>
      <family val="3"/>
    </font>
    <font>
      <sz val="10"/>
      <color theme="1"/>
      <name val="Courier New"/>
      <family val="3"/>
    </font>
    <font>
      <b/>
      <sz val="18"/>
      <color theme="1"/>
      <name val="Calibri"/>
      <family val="2"/>
      <scheme val="minor"/>
    </font>
    <font>
      <sz val="11"/>
      <color theme="1"/>
      <name val="Wingdings"/>
      <charset val="2"/>
    </font>
    <font>
      <b/>
      <u/>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0" fillId="2" borderId="0" xfId="0" applyFill="1"/>
    <xf numFmtId="0" fontId="2" fillId="2" borderId="1" xfId="0" applyFont="1" applyFill="1" applyBorder="1"/>
    <xf numFmtId="0" fontId="0" fillId="2" borderId="1" xfId="0" applyFill="1" applyBorder="1"/>
    <xf numFmtId="0" fontId="4" fillId="0" borderId="0" xfId="0" applyFont="1"/>
    <xf numFmtId="0" fontId="4" fillId="0" borderId="0" xfId="0" applyFont="1" applyAlignment="1">
      <alignment vertical="center"/>
    </xf>
    <xf numFmtId="0" fontId="0" fillId="2" borderId="2" xfId="0" applyFont="1" applyFill="1" applyBorder="1" applyAlignment="1">
      <alignment horizontal="right"/>
    </xf>
    <xf numFmtId="0" fontId="0" fillId="2" borderId="0" xfId="0" applyFont="1" applyFill="1"/>
    <xf numFmtId="0" fontId="0" fillId="2" borderId="1" xfId="0" applyFont="1" applyFill="1" applyBorder="1"/>
    <xf numFmtId="0" fontId="0" fillId="0" borderId="0" xfId="0" applyFont="1"/>
    <xf numFmtId="0" fontId="2" fillId="0" borderId="0" xfId="0" applyFont="1"/>
    <xf numFmtId="44" fontId="1" fillId="2" borderId="1" xfId="1" applyFont="1" applyFill="1" applyBorder="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Font="1" applyAlignment="1">
      <alignment vertical="center"/>
    </xf>
    <xf numFmtId="0" fontId="5" fillId="0" borderId="0" xfId="0" applyFont="1" applyFill="1" applyBorder="1" applyAlignment="1">
      <alignment vertical="center"/>
    </xf>
    <xf numFmtId="1" fontId="5" fillId="0" borderId="0" xfId="0" applyNumberFormat="1" applyFont="1" applyAlignment="1">
      <alignment vertical="center"/>
    </xf>
    <xf numFmtId="164" fontId="5" fillId="0" borderId="0" xfId="0" applyNumberFormat="1" applyFont="1"/>
    <xf numFmtId="0" fontId="5" fillId="0" borderId="0" xfId="0" applyFont="1" applyAlignment="1">
      <alignment horizontal="left" vertical="center"/>
    </xf>
    <xf numFmtId="44" fontId="0" fillId="0" borderId="0" xfId="0" applyNumberFormat="1" applyFont="1"/>
    <xf numFmtId="0" fontId="5" fillId="0" borderId="0" xfId="0" applyFont="1" applyAlignment="1">
      <alignment horizontal="center"/>
    </xf>
    <xf numFmtId="0" fontId="7" fillId="0" borderId="0" xfId="0" applyFont="1" applyAlignment="1">
      <alignment vertical="top"/>
    </xf>
    <xf numFmtId="0" fontId="0" fillId="0" borderId="0" xfId="0" applyAlignment="1">
      <alignment vertical="top" wrapText="1"/>
    </xf>
    <xf numFmtId="0" fontId="0" fillId="0" borderId="0" xfId="0" applyAlignment="1">
      <alignment vertical="top"/>
    </xf>
    <xf numFmtId="0" fontId="5" fillId="4" borderId="0" xfId="0" applyFont="1" applyFill="1"/>
    <xf numFmtId="0" fontId="5" fillId="4" borderId="0" xfId="0" applyFont="1" applyFill="1" applyAlignment="1">
      <alignment vertical="center"/>
    </xf>
    <xf numFmtId="0" fontId="5" fillId="4" borderId="1" xfId="0" applyFont="1" applyFill="1" applyBorder="1" applyAlignment="1">
      <alignment vertical="center"/>
    </xf>
    <xf numFmtId="0" fontId="0" fillId="5" borderId="0" xfId="0" applyFont="1" applyFill="1"/>
    <xf numFmtId="0" fontId="0" fillId="5" borderId="2" xfId="0" applyFont="1" applyFill="1" applyBorder="1" applyAlignment="1">
      <alignment horizontal="right"/>
    </xf>
    <xf numFmtId="0" fontId="0" fillId="5" borderId="2" xfId="0" applyFont="1" applyFill="1" applyBorder="1" applyAlignment="1"/>
    <xf numFmtId="0" fontId="2" fillId="5" borderId="1" xfId="0" applyFont="1" applyFill="1" applyBorder="1"/>
    <xf numFmtId="0" fontId="0" fillId="5" borderId="1" xfId="0" applyFont="1" applyFill="1" applyBorder="1"/>
    <xf numFmtId="0" fontId="0" fillId="5" borderId="0" xfId="0" applyFill="1"/>
    <xf numFmtId="14" fontId="0" fillId="5" borderId="0" xfId="0" applyNumberFormat="1" applyFill="1"/>
    <xf numFmtId="44" fontId="0" fillId="5" borderId="0" xfId="1" applyFont="1" applyFill="1"/>
    <xf numFmtId="14" fontId="0" fillId="5" borderId="0" xfId="1" applyNumberFormat="1" applyFont="1" applyFill="1"/>
    <xf numFmtId="0" fontId="0" fillId="5" borderId="0" xfId="0" applyFill="1" applyAlignment="1">
      <alignment horizontal="center"/>
    </xf>
    <xf numFmtId="0" fontId="2" fillId="5" borderId="3" xfId="0" quotePrefix="1" applyFont="1" applyFill="1" applyBorder="1"/>
    <xf numFmtId="44" fontId="2" fillId="5" borderId="3" xfId="1" quotePrefix="1" applyFont="1" applyFill="1" applyBorder="1"/>
    <xf numFmtId="44" fontId="2" fillId="5" borderId="3" xfId="1" applyFont="1" applyFill="1" applyBorder="1"/>
    <xf numFmtId="0" fontId="2" fillId="5" borderId="0" xfId="0" applyFont="1" applyFill="1"/>
    <xf numFmtId="44" fontId="0" fillId="5" borderId="0" xfId="0" applyNumberFormat="1" applyFill="1"/>
    <xf numFmtId="44" fontId="2" fillId="5" borderId="0" xfId="1" applyFont="1" applyFill="1"/>
    <xf numFmtId="0" fontId="2" fillId="2" borderId="0" xfId="0" applyFont="1" applyFill="1"/>
    <xf numFmtId="0" fontId="0" fillId="0" borderId="0" xfId="0" applyProtection="1">
      <protection locked="0"/>
    </xf>
    <xf numFmtId="0" fontId="0" fillId="0" borderId="1" xfId="0" applyFont="1" applyBorder="1" applyProtection="1">
      <protection locked="0"/>
    </xf>
    <xf numFmtId="14" fontId="0" fillId="0" borderId="2" xfId="0" applyNumberFormat="1" applyFont="1" applyFill="1" applyBorder="1" applyAlignment="1" applyProtection="1">
      <protection locked="0"/>
    </xf>
    <xf numFmtId="0" fontId="6" fillId="0" borderId="0" xfId="0" applyFont="1" applyAlignment="1">
      <alignment horizontal="center"/>
    </xf>
    <xf numFmtId="44" fontId="0" fillId="5" borderId="0" xfId="1" applyFont="1" applyFill="1" applyAlignment="1">
      <alignment horizontal="center"/>
    </xf>
    <xf numFmtId="0" fontId="3" fillId="2" borderId="2" xfId="0" applyFont="1" applyFill="1" applyBorder="1" applyAlignment="1">
      <alignment horizontal="center"/>
    </xf>
    <xf numFmtId="0" fontId="0" fillId="5" borderId="0" xfId="0" applyFill="1" applyAlignment="1">
      <alignment horizontal="left"/>
    </xf>
    <xf numFmtId="0" fontId="0" fillId="2" borderId="0" xfId="0" applyFont="1" applyFill="1" applyAlignment="1">
      <alignment horizontal="left"/>
    </xf>
    <xf numFmtId="0" fontId="0" fillId="3" borderId="0" xfId="0" applyFont="1" applyFill="1" applyAlignment="1" applyProtection="1">
      <alignment horizontal="left"/>
      <protection locked="0"/>
    </xf>
    <xf numFmtId="0" fontId="0" fillId="5" borderId="0" xfId="0" applyFill="1" applyAlignment="1">
      <alignment horizontal="center"/>
    </xf>
    <xf numFmtId="2" fontId="5" fillId="0" borderId="0" xfId="0" applyNumberFormat="1" applyFont="1" applyAlignment="1">
      <alignment horizontal="right"/>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D20"/>
  <sheetViews>
    <sheetView tabSelected="1" zoomScaleNormal="100" workbookViewId="0">
      <selection activeCell="D14" sqref="D14"/>
    </sheetView>
  </sheetViews>
  <sheetFormatPr baseColWidth="10" defaultRowHeight="15" x14ac:dyDescent="0.25"/>
  <cols>
    <col min="1" max="1" width="5.42578125" customWidth="1"/>
    <col min="2" max="2" width="2.5703125" bestFit="1" customWidth="1"/>
    <col min="3" max="3" width="5.28515625" customWidth="1"/>
    <col min="4" max="4" width="110.140625" customWidth="1"/>
  </cols>
  <sheetData>
    <row r="2" spans="1:4" ht="23.25" x14ac:dyDescent="0.35">
      <c r="A2" s="48" t="s">
        <v>46</v>
      </c>
      <c r="B2" s="48"/>
      <c r="C2" s="48"/>
      <c r="D2" s="48"/>
    </row>
    <row r="3" spans="1:4" ht="24" customHeight="1" x14ac:dyDescent="0.35">
      <c r="A3" s="48" t="s">
        <v>47</v>
      </c>
      <c r="B3" s="48"/>
      <c r="C3" s="48"/>
      <c r="D3" s="48"/>
    </row>
    <row r="4" spans="1:4" ht="24" customHeight="1" x14ac:dyDescent="0.35">
      <c r="A4" s="48" t="s">
        <v>48</v>
      </c>
      <c r="B4" s="48"/>
      <c r="C4" s="48"/>
      <c r="D4" s="48"/>
    </row>
    <row r="6" spans="1:4" x14ac:dyDescent="0.25">
      <c r="B6" t="s">
        <v>30</v>
      </c>
      <c r="C6" t="s">
        <v>53</v>
      </c>
    </row>
    <row r="7" spans="1:4" x14ac:dyDescent="0.25">
      <c r="C7" t="s">
        <v>52</v>
      </c>
    </row>
    <row r="9" spans="1:4" x14ac:dyDescent="0.25">
      <c r="B9" t="s">
        <v>31</v>
      </c>
      <c r="C9" t="s">
        <v>32</v>
      </c>
    </row>
    <row r="10" spans="1:4" ht="30" x14ac:dyDescent="0.25">
      <c r="C10" s="22" t="s">
        <v>33</v>
      </c>
      <c r="D10" s="23" t="s">
        <v>37</v>
      </c>
    </row>
    <row r="11" spans="1:4" ht="60" x14ac:dyDescent="0.25">
      <c r="C11" s="22" t="s">
        <v>33</v>
      </c>
      <c r="D11" s="23" t="s">
        <v>49</v>
      </c>
    </row>
    <row r="12" spans="1:4" ht="30" x14ac:dyDescent="0.25">
      <c r="C12" s="22" t="s">
        <v>33</v>
      </c>
      <c r="D12" s="23" t="s">
        <v>54</v>
      </c>
    </row>
    <row r="13" spans="1:4" ht="30" x14ac:dyDescent="0.25">
      <c r="C13" s="22" t="s">
        <v>33</v>
      </c>
      <c r="D13" s="23" t="s">
        <v>50</v>
      </c>
    </row>
    <row r="15" spans="1:4" x14ac:dyDescent="0.25">
      <c r="B15" t="s">
        <v>34</v>
      </c>
      <c r="C15" s="24" t="s">
        <v>35</v>
      </c>
    </row>
    <row r="16" spans="1:4" ht="30" x14ac:dyDescent="0.25">
      <c r="C16" s="22" t="s">
        <v>33</v>
      </c>
      <c r="D16" s="23" t="s">
        <v>38</v>
      </c>
    </row>
    <row r="17" spans="3:4" ht="30" x14ac:dyDescent="0.25">
      <c r="C17" s="22" t="s">
        <v>33</v>
      </c>
      <c r="D17" s="23" t="s">
        <v>51</v>
      </c>
    </row>
    <row r="18" spans="3:4" ht="45" x14ac:dyDescent="0.25">
      <c r="C18" s="22" t="s">
        <v>33</v>
      </c>
      <c r="D18" s="23" t="s">
        <v>55</v>
      </c>
    </row>
    <row r="19" spans="3:4" x14ac:dyDescent="0.25">
      <c r="C19" s="22" t="s">
        <v>33</v>
      </c>
      <c r="D19" t="s">
        <v>36</v>
      </c>
    </row>
    <row r="20" spans="3:4" ht="30" x14ac:dyDescent="0.25">
      <c r="C20" s="22" t="s">
        <v>33</v>
      </c>
      <c r="D20" s="23" t="s">
        <v>39</v>
      </c>
    </row>
  </sheetData>
  <sheetProtection algorithmName="SHA-512" hashValue="GRlKiRxflCY/pZG7Zcr8P4JbLzUdZWRvZnUg8GmvbuH7M0Sxg0C3PzEzhb/+AbBwC1cS2xx56DVVwkWPO10eNg==" saltValue="MdK8sdxnpdxd0UkWE+HCYg==" spinCount="100000" sheet="1" objects="1" scenarios="1" selectLockedCells="1" selectUnlockedCells="1"/>
  <mergeCells count="3">
    <mergeCell ref="A2:D2"/>
    <mergeCell ref="A3:D3"/>
    <mergeCell ref="A4:D4"/>
  </mergeCells>
  <pageMargins left="0.7" right="0.7" top="0.78740157499999996" bottom="0.78740157499999996" header="0.3" footer="0.3"/>
  <pageSetup paperSize="9" scale="67"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4"/>
  <sheetViews>
    <sheetView zoomScaleNormal="100" workbookViewId="0">
      <selection activeCell="C2" sqref="C2:F2"/>
    </sheetView>
  </sheetViews>
  <sheetFormatPr baseColWidth="10" defaultRowHeight="15" x14ac:dyDescent="0.25"/>
  <cols>
    <col min="1" max="1" width="13.28515625" bestFit="1" customWidth="1"/>
    <col min="2" max="2" width="50.85546875" bestFit="1" customWidth="1"/>
    <col min="3" max="3" width="13.140625" style="9" customWidth="1"/>
    <col min="4" max="5" width="13.140625" style="28" hidden="1" customWidth="1"/>
    <col min="6" max="6" width="13.140625" style="9" customWidth="1"/>
    <col min="7" max="13" width="11.42578125" style="33" hidden="1" customWidth="1"/>
    <col min="14" max="15" width="11.42578125" style="35" hidden="1" customWidth="1"/>
    <col min="16" max="16" width="12" style="35" hidden="1" customWidth="1"/>
    <col min="17" max="18" width="11.42578125" style="35" hidden="1" customWidth="1"/>
    <col min="19" max="22" width="11.42578125" style="33" hidden="1" customWidth="1"/>
    <col min="23" max="23" width="12" style="33" hidden="1" customWidth="1"/>
    <col min="24" max="24" width="66" hidden="1" customWidth="1"/>
  </cols>
  <sheetData>
    <row r="1" spans="1:24" x14ac:dyDescent="0.25">
      <c r="A1" s="1" t="s">
        <v>9</v>
      </c>
      <c r="B1" s="1" t="s">
        <v>10</v>
      </c>
      <c r="C1" s="52" t="s">
        <v>11</v>
      </c>
      <c r="D1" s="52"/>
      <c r="E1" s="52"/>
      <c r="F1" s="52"/>
      <c r="G1" s="51" t="s">
        <v>21</v>
      </c>
      <c r="H1" s="51"/>
      <c r="I1" s="51"/>
      <c r="K1" s="34">
        <v>44396</v>
      </c>
      <c r="M1" s="35"/>
      <c r="R1" s="33"/>
      <c r="X1" s="1"/>
    </row>
    <row r="2" spans="1:24" x14ac:dyDescent="0.25">
      <c r="A2" s="45"/>
      <c r="B2" s="45"/>
      <c r="C2" s="53"/>
      <c r="D2" s="53"/>
      <c r="E2" s="53"/>
      <c r="F2" s="53"/>
      <c r="G2" s="51" t="s">
        <v>40</v>
      </c>
      <c r="H2" s="51"/>
      <c r="I2" s="51"/>
      <c r="K2" s="36">
        <v>44389</v>
      </c>
      <c r="L2" s="35"/>
      <c r="M2" s="35"/>
      <c r="P2" s="33"/>
      <c r="Q2" s="33"/>
      <c r="R2" s="33"/>
      <c r="X2" s="1"/>
    </row>
    <row r="3" spans="1:24" x14ac:dyDescent="0.25">
      <c r="A3" s="1"/>
      <c r="B3" s="1"/>
      <c r="C3" s="7"/>
      <c r="F3" s="7"/>
      <c r="G3" s="51" t="s">
        <v>43</v>
      </c>
      <c r="H3" s="51"/>
      <c r="I3" s="51"/>
      <c r="K3" s="34">
        <v>44347</v>
      </c>
      <c r="X3" s="1"/>
    </row>
    <row r="4" spans="1:24" ht="15.75" x14ac:dyDescent="0.25">
      <c r="A4" s="50" t="s">
        <v>24</v>
      </c>
      <c r="B4" s="50"/>
      <c r="C4" s="6" t="s">
        <v>18</v>
      </c>
      <c r="D4" s="29"/>
      <c r="E4" s="30"/>
      <c r="F4" s="47"/>
      <c r="G4" s="54" t="s">
        <v>22</v>
      </c>
      <c r="H4" s="54"/>
      <c r="I4" s="54"/>
      <c r="J4" s="37"/>
      <c r="K4" s="49" t="s">
        <v>41</v>
      </c>
      <c r="L4" s="49"/>
      <c r="M4" s="49"/>
      <c r="N4" s="49" t="s">
        <v>23</v>
      </c>
      <c r="O4" s="49"/>
      <c r="P4" s="49"/>
      <c r="Q4" s="49" t="s">
        <v>42</v>
      </c>
      <c r="R4" s="49"/>
      <c r="X4" s="1" t="str">
        <f>IF(F4&lt;$K$3, "Eine Belieferung der Ärzte kann erst ab dem 31.05.2021 erfolgen", "")</f>
        <v>Eine Belieferung der Ärzte kann erst ab dem 31.05.2021 erfolgen</v>
      </c>
    </row>
    <row r="5" spans="1:24" s="10" customFormat="1" x14ac:dyDescent="0.25">
      <c r="A5" s="2" t="s">
        <v>0</v>
      </c>
      <c r="B5" s="2" t="s">
        <v>7</v>
      </c>
      <c r="C5" s="2" t="s">
        <v>1</v>
      </c>
      <c r="D5" s="31" t="s">
        <v>44</v>
      </c>
      <c r="E5" s="31" t="s">
        <v>45</v>
      </c>
      <c r="F5" s="2" t="s">
        <v>2</v>
      </c>
      <c r="G5" s="38" t="s">
        <v>29</v>
      </c>
      <c r="H5" s="38" t="s">
        <v>12</v>
      </c>
      <c r="I5" s="38" t="s">
        <v>13</v>
      </c>
      <c r="J5" s="38" t="s">
        <v>18</v>
      </c>
      <c r="K5" s="39" t="s">
        <v>29</v>
      </c>
      <c r="L5" s="39" t="s">
        <v>12</v>
      </c>
      <c r="M5" s="39" t="s">
        <v>13</v>
      </c>
      <c r="N5" s="39" t="s">
        <v>29</v>
      </c>
      <c r="O5" s="39" t="s">
        <v>12</v>
      </c>
      <c r="P5" s="39" t="s">
        <v>13</v>
      </c>
      <c r="Q5" s="39" t="s">
        <v>19</v>
      </c>
      <c r="R5" s="39" t="s">
        <v>20</v>
      </c>
      <c r="S5" s="40" t="s">
        <v>14</v>
      </c>
      <c r="T5" s="40" t="s">
        <v>15</v>
      </c>
      <c r="U5" s="41"/>
      <c r="V5" s="41"/>
      <c r="W5" s="41"/>
      <c r="X5" s="44"/>
    </row>
    <row r="6" spans="1:24" x14ac:dyDescent="0.25">
      <c r="A6" s="3">
        <v>17377625</v>
      </c>
      <c r="B6" s="3" t="s">
        <v>3</v>
      </c>
      <c r="C6" s="46"/>
      <c r="D6" s="32">
        <f>ROUND(C6,0)</f>
        <v>0</v>
      </c>
      <c r="E6" s="32">
        <f>C6</f>
        <v>0</v>
      </c>
      <c r="F6" s="11" t="str">
        <f>IF(AND(C6&gt;0,X6="",J6&gt;=$K$3), N6+O6+P6, "")</f>
        <v/>
      </c>
      <c r="G6" s="33">
        <f>IF(E6&lt;100,C6,IF(E6-C6&gt;100,0,MIN(100-(E6-C6))))</f>
        <v>0</v>
      </c>
      <c r="H6" s="33">
        <f>IF(E6&lt;=100,0,IF(E6-C6&gt;150,0,MIN(150,E6)-MAX(100,E6-C6)))</f>
        <v>0</v>
      </c>
      <c r="I6" s="33">
        <f>IF(E6&lt;=150,0,E6-MAX(150,E6-C6))</f>
        <v>0</v>
      </c>
      <c r="J6" s="34">
        <f>F4</f>
        <v>0</v>
      </c>
      <c r="K6" s="33" t="str">
        <f>IF($J6&lt;$K$3, "", IF($J6&lt;$K$2,6.58,7.58))</f>
        <v/>
      </c>
      <c r="L6" s="33" t="str">
        <f>IF($J6&lt;$K$3, "", IF($J6&lt;$K$2,4.28,4.92))</f>
        <v/>
      </c>
      <c r="M6" s="33" t="str">
        <f>IF($J6&lt;$K$3, "", IF($J6&lt;$K$2,2.19,2.52))</f>
        <v/>
      </c>
      <c r="N6" s="35" t="str">
        <f>IF($J6&lt;$K$3, "",G6*ROUND((K6+$Q6+$R6)*1.19,2))</f>
        <v/>
      </c>
      <c r="O6" s="35" t="str">
        <f t="shared" ref="O6:P6" si="0">IF($J6&lt;$K$3, "",H6*ROUND((L6+$Q6+$R6)*1.19,2))</f>
        <v/>
      </c>
      <c r="P6" s="35" t="str">
        <f t="shared" si="0"/>
        <v/>
      </c>
      <c r="Q6" s="35">
        <f>1.65</f>
        <v>1.65</v>
      </c>
      <c r="R6" s="35">
        <f>IF(F$4&lt;$K$1,8.6,7.45)</f>
        <v>8.6</v>
      </c>
      <c r="S6" s="33">
        <f>IF(C6&gt;0,1,0)</f>
        <v>0</v>
      </c>
      <c r="T6" s="33">
        <f>S6</f>
        <v>0</v>
      </c>
      <c r="U6" s="33" t="str">
        <f>IF(S6&gt;0,A6,"")</f>
        <v/>
      </c>
      <c r="V6" s="33" t="str">
        <f>IF(S6&gt;0,C6,"")</f>
        <v/>
      </c>
      <c r="W6" s="42" t="str">
        <f>IF(S6&gt;0,F6,"")</f>
        <v/>
      </c>
      <c r="X6" s="1" t="str">
        <f>IF(C6&gt;9999,"Der Faktor darf nur 4-stellig sein",IF(C6&lt;0,"Der Faktor darf nicht negativ sein",IF(C6&lt;&gt;D6,"Der Faktor muss ganzzahlig sein","")))</f>
        <v/>
      </c>
    </row>
    <row r="7" spans="1:24" x14ac:dyDescent="0.25">
      <c r="A7" s="3">
        <v>17377588</v>
      </c>
      <c r="B7" s="3" t="s">
        <v>4</v>
      </c>
      <c r="C7" s="46"/>
      <c r="D7" s="32">
        <f>ROUND(C7,0)</f>
        <v>0</v>
      </c>
      <c r="E7" s="32">
        <f>E6+C7</f>
        <v>0</v>
      </c>
      <c r="F7" s="11" t="str">
        <f t="shared" ref="F7:F9" si="1">IF(AND(C7&gt;0,X7="",J7&gt;=$K$3), N7+O7+P7, "")</f>
        <v/>
      </c>
      <c r="G7" s="33">
        <f>IF(E7&lt;100,C7,IF(E7-C7&gt;100,0,MIN(100-(E7-C7))))</f>
        <v>0</v>
      </c>
      <c r="H7" s="33">
        <f>IF(E7&lt;=100,0,IF(E7-C7&gt;150,0,MIN(150,E7)-MAX(100,E7-C7)))</f>
        <v>0</v>
      </c>
      <c r="I7" s="33">
        <f>IF(E7&lt;=150,0,E7-MAX(150,E7-C7))</f>
        <v>0</v>
      </c>
      <c r="J7" s="34">
        <f>F4</f>
        <v>0</v>
      </c>
      <c r="K7" s="33" t="str">
        <f t="shared" ref="K7:K9" si="2">IF($J7&lt;$K$3, "", IF($J7&lt;$K$2,6.58,7.58))</f>
        <v/>
      </c>
      <c r="L7" s="33" t="str">
        <f t="shared" ref="L7:L9" si="3">IF($J7&lt;$K$3, "", IF($J7&lt;$K$2,4.28,4.92))</f>
        <v/>
      </c>
      <c r="M7" s="33" t="str">
        <f t="shared" ref="M7:M9" si="4">IF($J7&lt;$K$3, "", IF($J7&lt;$K$2,2.19,2.52))</f>
        <v/>
      </c>
      <c r="N7" s="35" t="str">
        <f t="shared" ref="N7:N9" si="5">IF($J7&lt;$K$3, "",G7*ROUND((K7+$Q7+$R7)*1.19,2))</f>
        <v/>
      </c>
      <c r="O7" s="35" t="str">
        <f t="shared" ref="O7:O9" si="6">IF($J7&lt;$K$3, "",H7*ROUND((L7+$Q7+$R7)*1.19,2))</f>
        <v/>
      </c>
      <c r="P7" s="35" t="str">
        <f t="shared" ref="P7:P9" si="7">IF($J7&lt;$K$3, "",I7*ROUND((M7+$Q7+$R7)*1.19,2))</f>
        <v/>
      </c>
      <c r="Q7" s="35">
        <f t="shared" ref="Q7:Q9" si="8">1.65</f>
        <v>1.65</v>
      </c>
      <c r="R7" s="35">
        <f>IF(F$4&lt;$K$1,8.6,7.45)</f>
        <v>8.6</v>
      </c>
      <c r="S7" s="33">
        <f>IF(C7&gt;0,T6+1,0)</f>
        <v>0</v>
      </c>
      <c r="T7" s="33">
        <f>IF(C7&gt;0,T6+1,T6)</f>
        <v>0</v>
      </c>
      <c r="U7" s="33" t="str">
        <f>IF(S7&gt;0,A7,"")</f>
        <v/>
      </c>
      <c r="V7" s="33" t="str">
        <f>IF(S7&gt;0,C7,"")</f>
        <v/>
      </c>
      <c r="W7" s="42" t="str">
        <f>IF(S7&gt;0,F7,"")</f>
        <v/>
      </c>
      <c r="X7" s="1" t="str">
        <f>IF(C7&gt;9999,"Der Faktor darf nur 4-stellig sein",IF(C7&lt;0,"Der Faktor darf nicht negativ sein",IF(C7&lt;&gt;D7,"Der Faktor muss ganzzahlig sein","")))</f>
        <v/>
      </c>
    </row>
    <row r="8" spans="1:24" x14ac:dyDescent="0.25">
      <c r="A8" s="3">
        <v>17377602</v>
      </c>
      <c r="B8" s="3" t="s">
        <v>5</v>
      </c>
      <c r="C8" s="46"/>
      <c r="D8" s="32">
        <f>ROUND(C8,0)</f>
        <v>0</v>
      </c>
      <c r="E8" s="32">
        <f>E7+C8</f>
        <v>0</v>
      </c>
      <c r="F8" s="11" t="str">
        <f t="shared" si="1"/>
        <v/>
      </c>
      <c r="G8" s="33">
        <f>IF(E8&lt;100,C8,IF(E8-C8&gt;100,0,MIN(100-(E8-C8))))</f>
        <v>0</v>
      </c>
      <c r="H8" s="33">
        <f>IF(E8&lt;=100,0,IF(E8-C8&gt;150,0,MIN(150,E8)-MAX(100,E8-C8)))</f>
        <v>0</v>
      </c>
      <c r="I8" s="33">
        <f>IF(E8&lt;=150,0,E8-MAX(150,E8-C8))</f>
        <v>0</v>
      </c>
      <c r="J8" s="34">
        <f>F4</f>
        <v>0</v>
      </c>
      <c r="K8" s="33" t="str">
        <f t="shared" si="2"/>
        <v/>
      </c>
      <c r="L8" s="33" t="str">
        <f t="shared" si="3"/>
        <v/>
      </c>
      <c r="M8" s="33" t="str">
        <f t="shared" si="4"/>
        <v/>
      </c>
      <c r="N8" s="35" t="str">
        <f t="shared" si="5"/>
        <v/>
      </c>
      <c r="O8" s="35" t="str">
        <f t="shared" si="6"/>
        <v/>
      </c>
      <c r="P8" s="35" t="str">
        <f t="shared" si="7"/>
        <v/>
      </c>
      <c r="Q8" s="35">
        <f t="shared" si="8"/>
        <v>1.65</v>
      </c>
      <c r="R8" s="35">
        <f>IF(F$4&lt;$K$1,8.6,7.45)</f>
        <v>8.6</v>
      </c>
      <c r="S8" s="33">
        <f>IF(C8&gt;0,T7+1,0)</f>
        <v>0</v>
      </c>
      <c r="T8" s="33">
        <f>IF(C8&gt;0,T7+1,T7)</f>
        <v>0</v>
      </c>
      <c r="U8" s="33" t="str">
        <f>IF(S8&gt;0,A8,"")</f>
        <v/>
      </c>
      <c r="V8" s="33" t="str">
        <f>IF(S8&gt;0,C8,"")</f>
        <v/>
      </c>
      <c r="W8" s="42" t="str">
        <f>IF(S8&gt;0,F8,"")</f>
        <v/>
      </c>
      <c r="X8" s="1" t="str">
        <f>IF(C8&gt;9999,"Der Faktor darf nur 4-stellig sein",IF(C8&lt;0,"Der Faktor darf nicht negativ sein",IF(C8&lt;&gt;D8,"Der Faktor muss ganzzahlig sein","")))</f>
        <v/>
      </c>
    </row>
    <row r="9" spans="1:24" x14ac:dyDescent="0.25">
      <c r="A9" s="3">
        <v>17377648</v>
      </c>
      <c r="B9" s="3" t="s">
        <v>6</v>
      </c>
      <c r="C9" s="46"/>
      <c r="D9" s="32">
        <f>ROUND(C9,0)</f>
        <v>0</v>
      </c>
      <c r="E9" s="32">
        <f>E8+C9</f>
        <v>0</v>
      </c>
      <c r="F9" s="11" t="str">
        <f t="shared" si="1"/>
        <v/>
      </c>
      <c r="G9" s="33">
        <f>IF(E9&lt;100,C9,IF(E9-C9&gt;100,0,MIN(100-(E9-C9))))</f>
        <v>0</v>
      </c>
      <c r="H9" s="33">
        <f>IF(E9&lt;=100,0,IF(E9-C9&gt;150,0,MIN(150,E9)-MAX(100,E9-C9)))</f>
        <v>0</v>
      </c>
      <c r="I9" s="33">
        <f>IF(E9&lt;=150,0,E9-MAX(150,E9-C9))</f>
        <v>0</v>
      </c>
      <c r="J9" s="34">
        <f>F4</f>
        <v>0</v>
      </c>
      <c r="K9" s="33" t="str">
        <f t="shared" si="2"/>
        <v/>
      </c>
      <c r="L9" s="33" t="str">
        <f t="shared" si="3"/>
        <v/>
      </c>
      <c r="M9" s="33" t="str">
        <f t="shared" si="4"/>
        <v/>
      </c>
      <c r="N9" s="35" t="str">
        <f t="shared" si="5"/>
        <v/>
      </c>
      <c r="O9" s="35" t="str">
        <f t="shared" si="6"/>
        <v/>
      </c>
      <c r="P9" s="35" t="str">
        <f t="shared" si="7"/>
        <v/>
      </c>
      <c r="Q9" s="35">
        <f t="shared" si="8"/>
        <v>1.65</v>
      </c>
      <c r="R9" s="35">
        <f>IF(F$4&lt;$K$1,8.6,7.45)</f>
        <v>8.6</v>
      </c>
      <c r="S9" s="33">
        <f>IF(C9&gt;0,T8+1,0)</f>
        <v>0</v>
      </c>
      <c r="T9" s="33">
        <f>IF(C9&gt;0,T8+1,T8)</f>
        <v>0</v>
      </c>
      <c r="U9" s="33" t="str">
        <f>IF(S9&gt;0,A9,"")</f>
        <v/>
      </c>
      <c r="V9" s="33" t="str">
        <f>IF(S9&gt;0,C9,"")</f>
        <v/>
      </c>
      <c r="W9" s="42" t="str">
        <f>IF(S9&gt;0,F9,"")</f>
        <v/>
      </c>
      <c r="X9" s="1" t="str">
        <f>IF(C9&gt;9999,"Der Faktor darf nur 4-stellig sein",IF(C9&lt;0,"Der Faktor darf nicht negativ sein",IF(C9&lt;&gt;D9,"Der Faktor muss ganzzahlig sein","")))</f>
        <v/>
      </c>
    </row>
    <row r="10" spans="1:24" x14ac:dyDescent="0.25">
      <c r="A10" s="3"/>
      <c r="B10" s="2" t="s">
        <v>8</v>
      </c>
      <c r="C10" s="8">
        <f>SUM(C6:C9)</f>
        <v>0</v>
      </c>
      <c r="D10" s="32"/>
      <c r="E10" s="32"/>
      <c r="F10" s="11">
        <f>SUM(F6:F9)</f>
        <v>0</v>
      </c>
      <c r="X10" s="1"/>
    </row>
    <row r="11" spans="1:24" x14ac:dyDescent="0.25">
      <c r="A11" s="1"/>
      <c r="B11" s="1"/>
      <c r="C11" s="7"/>
      <c r="F11" s="7"/>
      <c r="X11" s="1"/>
    </row>
    <row r="12" spans="1:24" ht="15.75" x14ac:dyDescent="0.25">
      <c r="A12" s="50" t="s">
        <v>25</v>
      </c>
      <c r="B12" s="50"/>
      <c r="C12" s="6" t="s">
        <v>18</v>
      </c>
      <c r="D12" s="29"/>
      <c r="E12" s="30"/>
      <c r="F12" s="47"/>
      <c r="X12" s="1" t="str">
        <f>IF(F12&lt;$K$3, "Eine Belieferung der Ärzte kann erst ab dem 31.05.2021 erfolgen", "")</f>
        <v>Eine Belieferung der Ärzte kann erst ab dem 31.05.2021 erfolgen</v>
      </c>
    </row>
    <row r="13" spans="1:24" s="10" customFormat="1" x14ac:dyDescent="0.25">
      <c r="A13" s="2" t="s">
        <v>0</v>
      </c>
      <c r="B13" s="2" t="s">
        <v>7</v>
      </c>
      <c r="C13" s="2" t="s">
        <v>1</v>
      </c>
      <c r="D13" s="31" t="s">
        <v>44</v>
      </c>
      <c r="E13" s="31" t="s">
        <v>45</v>
      </c>
      <c r="F13" s="2" t="s">
        <v>2</v>
      </c>
      <c r="G13" s="41"/>
      <c r="H13" s="41"/>
      <c r="I13" s="41"/>
      <c r="J13" s="41"/>
      <c r="K13" s="41"/>
      <c r="L13" s="41"/>
      <c r="M13" s="41"/>
      <c r="N13" s="43"/>
      <c r="O13" s="43"/>
      <c r="P13" s="43"/>
      <c r="Q13" s="43"/>
      <c r="R13" s="43"/>
      <c r="S13" s="41"/>
      <c r="T13" s="41"/>
      <c r="U13" s="41"/>
      <c r="V13" s="41"/>
      <c r="W13" s="41"/>
      <c r="X13" s="44"/>
    </row>
    <row r="14" spans="1:24" x14ac:dyDescent="0.25">
      <c r="A14" s="3">
        <v>17377625</v>
      </c>
      <c r="B14" s="3" t="s">
        <v>3</v>
      </c>
      <c r="C14" s="46"/>
      <c r="D14" s="32">
        <f>ROUND(C14,0)</f>
        <v>0</v>
      </c>
      <c r="E14" s="32">
        <f>E9+C14</f>
        <v>0</v>
      </c>
      <c r="F14" s="11" t="str">
        <f>IF(AND(C14&gt;0,X14="",J14&gt;=$K$3), N14+O14+P14, "")</f>
        <v/>
      </c>
      <c r="G14" s="33">
        <f>IF(E14&lt;100,C14,IF(E14-C14&gt;100,0,MIN(100-(E14-C14))))</f>
        <v>0</v>
      </c>
      <c r="H14" s="33">
        <f>IF(E14&lt;=100,0,IF(E14-C14&gt;150,0,MIN(150,E14)-MAX(100,E14-C14)))</f>
        <v>0</v>
      </c>
      <c r="I14" s="33">
        <f>IF(E14&lt;=150,0,E14-MAX(150,E14-C14))</f>
        <v>0</v>
      </c>
      <c r="J14" s="34">
        <f>F12</f>
        <v>0</v>
      </c>
      <c r="K14" s="33" t="str">
        <f>IF($J14&lt;$K$3, "", IF($J14&lt;$K$2,6.58,7.58))</f>
        <v/>
      </c>
      <c r="L14" s="33" t="str">
        <f>IF($J14&lt;$K$3, "", IF($J14&lt;$K$2,4.28,4.92))</f>
        <v/>
      </c>
      <c r="M14" s="33" t="str">
        <f>IF($J14&lt;$K$3, "", IF($J14&lt;$K$2,2.19,2.52))</f>
        <v/>
      </c>
      <c r="N14" s="35" t="str">
        <f>IF($J14&lt;$K$3, "",G14*ROUND((K14+$Q14+$R14)*1.19,2))</f>
        <v/>
      </c>
      <c r="O14" s="35" t="str">
        <f t="shared" ref="O14:O17" si="9">IF($J14&lt;$K$3, "",H14*ROUND((L14+$Q14+$R14)*1.19,2))</f>
        <v/>
      </c>
      <c r="P14" s="35" t="str">
        <f t="shared" ref="P14:P17" si="10">IF($J14&lt;$K$3, "",I14*ROUND((M14+$Q14+$R14)*1.19,2))</f>
        <v/>
      </c>
      <c r="Q14" s="35">
        <f>1.65</f>
        <v>1.65</v>
      </c>
      <c r="R14" s="35">
        <f>IF(F$12&lt;$K$1,8.6,7.45)</f>
        <v>8.6</v>
      </c>
      <c r="S14" s="33">
        <f>IF(C14&gt;0,1,0)</f>
        <v>0</v>
      </c>
      <c r="T14" s="33">
        <f>S14</f>
        <v>0</v>
      </c>
      <c r="U14" s="33" t="str">
        <f>IF(S14&gt;0,A14,"")</f>
        <v/>
      </c>
      <c r="V14" s="33" t="str">
        <f>IF(S14&gt;0,C14,"")</f>
        <v/>
      </c>
      <c r="W14" s="42" t="str">
        <f>IF(S14&gt;0,F14,"")</f>
        <v/>
      </c>
      <c r="X14" s="1" t="str">
        <f>IF(C14&gt;9999,"Der Faktor darf nur 4-stellig sein",IF(C14&lt;0,"Der Faktor darf nicht negativ sein",IF(C14&lt;&gt;D14,"Der Faktor muss ganzzahlig sein","")))</f>
        <v/>
      </c>
    </row>
    <row r="15" spans="1:24" x14ac:dyDescent="0.25">
      <c r="A15" s="3">
        <v>17377588</v>
      </c>
      <c r="B15" s="3" t="s">
        <v>4</v>
      </c>
      <c r="C15" s="46"/>
      <c r="D15" s="32">
        <f>ROUND(C15,0)</f>
        <v>0</v>
      </c>
      <c r="E15" s="32">
        <f>E14+C15</f>
        <v>0</v>
      </c>
      <c r="F15" s="11" t="str">
        <f t="shared" ref="F15:F17" si="11">IF(AND(C15&gt;0,X15="",J15&gt;=$K$3), N15+O15+P15, "")</f>
        <v/>
      </c>
      <c r="G15" s="33">
        <f>IF(E15&lt;100,C15,IF(E15-C15&gt;100,0,MIN(100-(E15-C15))))</f>
        <v>0</v>
      </c>
      <c r="H15" s="33">
        <f>IF(E15&lt;=100,0,IF(E15-C15&gt;150,0,MIN(150,E15)-MAX(100,E15-C15)))</f>
        <v>0</v>
      </c>
      <c r="I15" s="33">
        <f>IF(E15&lt;=150,0,E15-MAX(150,E15-C15))</f>
        <v>0</v>
      </c>
      <c r="J15" s="34">
        <f>F12</f>
        <v>0</v>
      </c>
      <c r="K15" s="33" t="str">
        <f t="shared" ref="K15:K17" si="12">IF($J15&lt;$K$3, "", IF($J15&lt;$K$2,6.58,7.58))</f>
        <v/>
      </c>
      <c r="L15" s="33" t="str">
        <f t="shared" ref="L15:L17" si="13">IF($J15&lt;$K$3, "", IF($J15&lt;$K$2,4.28,4.92))</f>
        <v/>
      </c>
      <c r="M15" s="33" t="str">
        <f t="shared" ref="M15:M17" si="14">IF($J15&lt;$K$3, "", IF($J15&lt;$K$2,2.19,2.52))</f>
        <v/>
      </c>
      <c r="N15" s="35" t="str">
        <f t="shared" ref="N15:N17" si="15">IF($J15&lt;$K$3, "",G15*ROUND((K15+$Q15+$R15)*1.19,2))</f>
        <v/>
      </c>
      <c r="O15" s="35" t="str">
        <f t="shared" si="9"/>
        <v/>
      </c>
      <c r="P15" s="35" t="str">
        <f t="shared" si="10"/>
        <v/>
      </c>
      <c r="Q15" s="35">
        <f t="shared" ref="Q15:Q17" si="16">1.65</f>
        <v>1.65</v>
      </c>
      <c r="R15" s="35">
        <f>IF(F$12&lt;$K$1,8.6,7.45)</f>
        <v>8.6</v>
      </c>
      <c r="S15" s="33">
        <f>IF(C15&gt;0,T14+1,0)</f>
        <v>0</v>
      </c>
      <c r="T15" s="33">
        <f>IF(C15&gt;0,T14+1,T14)</f>
        <v>0</v>
      </c>
      <c r="U15" s="33" t="str">
        <f>IF(S15&gt;0,A15,"")</f>
        <v/>
      </c>
      <c r="V15" s="33" t="str">
        <f>IF(S15&gt;0,C15,"")</f>
        <v/>
      </c>
      <c r="W15" s="42" t="str">
        <f>IF(S15&gt;0,F15,"")</f>
        <v/>
      </c>
      <c r="X15" s="1" t="str">
        <f>IF(C15&gt;9999,"Der Faktor darf nur 4-stellig sein",IF(C15&lt;0,"Der Faktor darf nicht negativ sein",IF(C15&lt;&gt;D15,"Der Faktor muss ganzzahlig sein","")))</f>
        <v/>
      </c>
    </row>
    <row r="16" spans="1:24" x14ac:dyDescent="0.25">
      <c r="A16" s="3">
        <v>17377602</v>
      </c>
      <c r="B16" s="3" t="s">
        <v>5</v>
      </c>
      <c r="C16" s="46"/>
      <c r="D16" s="32">
        <f>ROUND(C16,0)</f>
        <v>0</v>
      </c>
      <c r="E16" s="32">
        <f>E15+C16</f>
        <v>0</v>
      </c>
      <c r="F16" s="11" t="str">
        <f t="shared" si="11"/>
        <v/>
      </c>
      <c r="G16" s="33">
        <f>IF(E16&lt;100,C16,IF(E16-C16&gt;100,0,MIN(100-(E16-C16))))</f>
        <v>0</v>
      </c>
      <c r="H16" s="33">
        <f>IF(E16&lt;=100,0,IF(E16-C16&gt;150,0,MIN(150,E16)-MAX(100,E16-C16)))</f>
        <v>0</v>
      </c>
      <c r="I16" s="33">
        <f>IF(E16&lt;=150,0,E16-MAX(150,E16-C16))</f>
        <v>0</v>
      </c>
      <c r="J16" s="34">
        <f>F12</f>
        <v>0</v>
      </c>
      <c r="K16" s="33" t="str">
        <f t="shared" si="12"/>
        <v/>
      </c>
      <c r="L16" s="33" t="str">
        <f t="shared" si="13"/>
        <v/>
      </c>
      <c r="M16" s="33" t="str">
        <f t="shared" si="14"/>
        <v/>
      </c>
      <c r="N16" s="35" t="str">
        <f t="shared" si="15"/>
        <v/>
      </c>
      <c r="O16" s="35" t="str">
        <f t="shared" si="9"/>
        <v/>
      </c>
      <c r="P16" s="35" t="str">
        <f t="shared" si="10"/>
        <v/>
      </c>
      <c r="Q16" s="35">
        <f t="shared" si="16"/>
        <v>1.65</v>
      </c>
      <c r="R16" s="35">
        <f>IF(F$12&lt;$K$1,8.6,7.45)</f>
        <v>8.6</v>
      </c>
      <c r="S16" s="33">
        <f>IF(C16&gt;0,T15+1,0)</f>
        <v>0</v>
      </c>
      <c r="T16" s="33">
        <f>IF(C16&gt;0,T15+1,T15)</f>
        <v>0</v>
      </c>
      <c r="U16" s="33" t="str">
        <f>IF(S16&gt;0,A16,"")</f>
        <v/>
      </c>
      <c r="V16" s="33" t="str">
        <f>IF(S16&gt;0,C16,"")</f>
        <v/>
      </c>
      <c r="W16" s="42" t="str">
        <f>IF(S16&gt;0,F16,"")</f>
        <v/>
      </c>
      <c r="X16" s="1" t="str">
        <f>IF(C16&gt;9999,"Der Faktor darf nur 4-stellig sein",IF(C16&lt;0,"Der Faktor darf nicht negativ sein",IF(C16&lt;&gt;D16,"Der Faktor muss ganzzahlig sein","")))</f>
        <v/>
      </c>
    </row>
    <row r="17" spans="1:24" x14ac:dyDescent="0.25">
      <c r="A17" s="3">
        <v>17377648</v>
      </c>
      <c r="B17" s="3" t="s">
        <v>6</v>
      </c>
      <c r="C17" s="46"/>
      <c r="D17" s="32">
        <f>ROUND(C17,0)</f>
        <v>0</v>
      </c>
      <c r="E17" s="32">
        <f>E16+C17</f>
        <v>0</v>
      </c>
      <c r="F17" s="11" t="str">
        <f t="shared" si="11"/>
        <v/>
      </c>
      <c r="G17" s="33">
        <f>IF(E17&lt;100,C17,IF(E17-C17&gt;100,0,MIN(100-(E17-C17))))</f>
        <v>0</v>
      </c>
      <c r="H17" s="33">
        <f>IF(E17&lt;=100,0,IF(E17-C17&gt;150,0,MIN(150,E17)-MAX(100,E17-C17)))</f>
        <v>0</v>
      </c>
      <c r="I17" s="33">
        <f>IF(E17&lt;=150,0,E17-MAX(150,E17-C17))</f>
        <v>0</v>
      </c>
      <c r="J17" s="34">
        <f>F12</f>
        <v>0</v>
      </c>
      <c r="K17" s="33" t="str">
        <f t="shared" si="12"/>
        <v/>
      </c>
      <c r="L17" s="33" t="str">
        <f t="shared" si="13"/>
        <v/>
      </c>
      <c r="M17" s="33" t="str">
        <f t="shared" si="14"/>
        <v/>
      </c>
      <c r="N17" s="35" t="str">
        <f t="shared" si="15"/>
        <v/>
      </c>
      <c r="O17" s="35" t="str">
        <f t="shared" si="9"/>
        <v/>
      </c>
      <c r="P17" s="35" t="str">
        <f t="shared" si="10"/>
        <v/>
      </c>
      <c r="Q17" s="35">
        <f t="shared" si="16"/>
        <v>1.65</v>
      </c>
      <c r="R17" s="35">
        <f>IF(F$12&lt;$K$1,8.6,7.45)</f>
        <v>8.6</v>
      </c>
      <c r="S17" s="33">
        <f>IF(C17&gt;0,T16+1,0)</f>
        <v>0</v>
      </c>
      <c r="T17" s="33">
        <f>IF(C17&gt;0,T16+1,T16)</f>
        <v>0</v>
      </c>
      <c r="U17" s="33" t="str">
        <f>IF(S17&gt;0,A17,"")</f>
        <v/>
      </c>
      <c r="V17" s="33" t="str">
        <f>IF(S17&gt;0,C17,"")</f>
        <v/>
      </c>
      <c r="W17" s="42" t="str">
        <f>IF(S17&gt;0,F17,"")</f>
        <v/>
      </c>
      <c r="X17" s="1" t="str">
        <f>IF(C17&gt;9999,"Der Faktor darf nur 4-stellig sein",IF(C17&lt;0,"Der Faktor darf nicht negativ sein",IF(C17&lt;&gt;D17,"Der Faktor muss ganzzahlig sein","")))</f>
        <v/>
      </c>
    </row>
    <row r="18" spans="1:24" x14ac:dyDescent="0.25">
      <c r="A18" s="3"/>
      <c r="B18" s="2" t="s">
        <v>8</v>
      </c>
      <c r="C18" s="8">
        <f>SUM(C14:C17)</f>
        <v>0</v>
      </c>
      <c r="D18" s="32"/>
      <c r="E18" s="32"/>
      <c r="F18" s="11">
        <f>SUM(F14:F17)</f>
        <v>0</v>
      </c>
      <c r="X18" s="1"/>
    </row>
    <row r="19" spans="1:24" x14ac:dyDescent="0.25">
      <c r="A19" s="1"/>
      <c r="B19" s="1"/>
      <c r="C19" s="7"/>
      <c r="F19" s="7"/>
      <c r="X19" s="1"/>
    </row>
    <row r="20" spans="1:24" ht="15.75" x14ac:dyDescent="0.25">
      <c r="A20" s="50" t="s">
        <v>26</v>
      </c>
      <c r="B20" s="50"/>
      <c r="C20" s="6" t="s">
        <v>18</v>
      </c>
      <c r="D20" s="29"/>
      <c r="E20" s="30"/>
      <c r="F20" s="47"/>
      <c r="X20" s="1" t="str">
        <f>IF(F20&lt;$K$3, "Eine Belieferung der Ärzte kann erst ab dem 31.05.2021 erfolgen", "")</f>
        <v>Eine Belieferung der Ärzte kann erst ab dem 31.05.2021 erfolgen</v>
      </c>
    </row>
    <row r="21" spans="1:24" s="10" customFormat="1" x14ac:dyDescent="0.25">
      <c r="A21" s="2" t="s">
        <v>0</v>
      </c>
      <c r="B21" s="2" t="s">
        <v>7</v>
      </c>
      <c r="C21" s="2" t="s">
        <v>1</v>
      </c>
      <c r="D21" s="31" t="s">
        <v>44</v>
      </c>
      <c r="E21" s="31" t="s">
        <v>45</v>
      </c>
      <c r="F21" s="2" t="s">
        <v>2</v>
      </c>
      <c r="G21" s="41"/>
      <c r="H21" s="41"/>
      <c r="I21" s="41"/>
      <c r="J21" s="41"/>
      <c r="K21" s="41"/>
      <c r="L21" s="41"/>
      <c r="M21" s="41"/>
      <c r="N21" s="43"/>
      <c r="O21" s="43"/>
      <c r="P21" s="43"/>
      <c r="Q21" s="43"/>
      <c r="R21" s="43"/>
      <c r="S21" s="41"/>
      <c r="T21" s="41"/>
      <c r="U21" s="41"/>
      <c r="V21" s="41"/>
      <c r="W21" s="41"/>
      <c r="X21" s="44"/>
    </row>
    <row r="22" spans="1:24" x14ac:dyDescent="0.25">
      <c r="A22" s="3">
        <v>17377625</v>
      </c>
      <c r="B22" s="3" t="s">
        <v>3</v>
      </c>
      <c r="C22" s="46"/>
      <c r="D22" s="32">
        <f>ROUND(C22,0)</f>
        <v>0</v>
      </c>
      <c r="E22" s="32">
        <f>E17+C22</f>
        <v>0</v>
      </c>
      <c r="F22" s="11" t="str">
        <f>IF(AND(C22&gt;0,X22="",J22&gt;=$K$3), N22+O22+P22, "")</f>
        <v/>
      </c>
      <c r="G22" s="33">
        <f>IF(E22&lt;100,C22,IF(E22-C22&gt;100,0,MIN(100-(E22-C22))))</f>
        <v>0</v>
      </c>
      <c r="H22" s="33">
        <f>IF(E22&lt;=100,0,IF(E22-C22&gt;150,0,MIN(150,E22)-MAX(100,E22-C22)))</f>
        <v>0</v>
      </c>
      <c r="I22" s="33">
        <f>IF(E22&lt;=150,0,E22-MAX(150,E22-C22))</f>
        <v>0</v>
      </c>
      <c r="J22" s="34">
        <f>F20</f>
        <v>0</v>
      </c>
      <c r="K22" s="33" t="str">
        <f>IF($J22&lt;$K$3, "", IF($J22&lt;$K$2,6.58,7.58))</f>
        <v/>
      </c>
      <c r="L22" s="33" t="str">
        <f>IF($J22&lt;$K$3, "", IF($J22&lt;$K$2,4.28,4.92))</f>
        <v/>
      </c>
      <c r="M22" s="33" t="str">
        <f>IF($J22&lt;$K$3, "", IF($J22&lt;$K$2,2.19,2.52))</f>
        <v/>
      </c>
      <c r="N22" s="35" t="str">
        <f>IF($J22&lt;$K$3, "",G22*ROUND((K22+$Q22+$R22)*1.19,2))</f>
        <v/>
      </c>
      <c r="O22" s="35" t="str">
        <f t="shared" ref="O22:O25" si="17">IF($J22&lt;$K$3, "",H22*ROUND((L22+$Q22+$R22)*1.19,2))</f>
        <v/>
      </c>
      <c r="P22" s="35" t="str">
        <f t="shared" ref="P22:P25" si="18">IF($J22&lt;$K$3, "",I22*ROUND((M22+$Q22+$R22)*1.19,2))</f>
        <v/>
      </c>
      <c r="Q22" s="35">
        <f>1.65</f>
        <v>1.65</v>
      </c>
      <c r="R22" s="35">
        <f>IF(F$20&lt;$K$1,8.6,7.45)</f>
        <v>8.6</v>
      </c>
      <c r="S22" s="33">
        <f>IF(C22&gt;0,1,0)</f>
        <v>0</v>
      </c>
      <c r="T22" s="33">
        <f>S22</f>
        <v>0</v>
      </c>
      <c r="U22" s="33" t="str">
        <f>IF(S22&gt;0,A22,"")</f>
        <v/>
      </c>
      <c r="V22" s="33" t="str">
        <f>IF(S22&gt;0,C22,"")</f>
        <v/>
      </c>
      <c r="W22" s="42" t="str">
        <f>IF(S22&gt;0,F22,"")</f>
        <v/>
      </c>
      <c r="X22" s="1" t="str">
        <f>IF(C22&gt;9999,"Der Faktor darf nur 4-stellig sein",IF(C22&lt;0,"Der Faktor darf nicht negativ sein",IF(C22&lt;&gt;D22,"Der Faktor muss ganzzahlig sein","")))</f>
        <v/>
      </c>
    </row>
    <row r="23" spans="1:24" x14ac:dyDescent="0.25">
      <c r="A23" s="3">
        <v>17377588</v>
      </c>
      <c r="B23" s="3" t="s">
        <v>4</v>
      </c>
      <c r="C23" s="46"/>
      <c r="D23" s="32">
        <f t="shared" ref="D23:D25" si="19">ROUND(C23,0)</f>
        <v>0</v>
      </c>
      <c r="E23" s="32">
        <f>E22+C23</f>
        <v>0</v>
      </c>
      <c r="F23" s="11" t="str">
        <f t="shared" ref="F23:F25" si="20">IF(AND(C23&gt;0,X23="",J23&gt;=$K$3), N23+O23+P23, "")</f>
        <v/>
      </c>
      <c r="G23" s="33">
        <f>IF(E23&lt;100,C23,IF(E23-C23&gt;100,0,MIN(100-(E23-C23))))</f>
        <v>0</v>
      </c>
      <c r="H23" s="33">
        <f>IF(E23&lt;=100,0,IF(E23-C23&gt;150,0,MIN(150,E23)-MAX(100,E23-C23)))</f>
        <v>0</v>
      </c>
      <c r="I23" s="33">
        <f>IF(E23&lt;=150,0,E23-MAX(150,E23-C23))</f>
        <v>0</v>
      </c>
      <c r="J23" s="34">
        <f>F20</f>
        <v>0</v>
      </c>
      <c r="K23" s="33" t="str">
        <f t="shared" ref="K23:K25" si="21">IF($J23&lt;$K$3, "", IF($J23&lt;$K$2,6.58,7.58))</f>
        <v/>
      </c>
      <c r="L23" s="33" t="str">
        <f t="shared" ref="L23:L25" si="22">IF($J23&lt;$K$3, "", IF($J23&lt;$K$2,4.28,4.92))</f>
        <v/>
      </c>
      <c r="M23" s="33" t="str">
        <f t="shared" ref="M23:M25" si="23">IF($J23&lt;$K$3, "", IF($J23&lt;$K$2,2.19,2.52))</f>
        <v/>
      </c>
      <c r="N23" s="35" t="str">
        <f t="shared" ref="N23:N25" si="24">IF($J23&lt;$K$3, "",G23*ROUND((K23+$Q23+$R23)*1.19,2))</f>
        <v/>
      </c>
      <c r="O23" s="35" t="str">
        <f t="shared" si="17"/>
        <v/>
      </c>
      <c r="P23" s="35" t="str">
        <f t="shared" si="18"/>
        <v/>
      </c>
      <c r="Q23" s="35">
        <f t="shared" ref="Q23:Q25" si="25">1.65</f>
        <v>1.65</v>
      </c>
      <c r="R23" s="35">
        <f>IF(F$20&lt;$K$1,8.6,7.45)</f>
        <v>8.6</v>
      </c>
      <c r="S23" s="33">
        <f>IF(C23&gt;0,T22+1,0)</f>
        <v>0</v>
      </c>
      <c r="T23" s="33">
        <f>IF(C23&gt;0,T22+1,T22)</f>
        <v>0</v>
      </c>
      <c r="U23" s="33" t="str">
        <f>IF(S23&gt;0,A23,"")</f>
        <v/>
      </c>
      <c r="V23" s="33" t="str">
        <f>IF(S23&gt;0,C23,"")</f>
        <v/>
      </c>
      <c r="W23" s="42" t="str">
        <f>IF(S23&gt;0,F23,"")</f>
        <v/>
      </c>
      <c r="X23" s="1" t="str">
        <f t="shared" ref="X23:X25" si="26">IF(C23&gt;9999,"Der Faktor darf nur 4-stellig sein",IF(C23&lt;0,"Der Faktor darf nicht negativ sein",IF(C23&lt;&gt;D23,"Der Faktor muss ganzzahlig sein","")))</f>
        <v/>
      </c>
    </row>
    <row r="24" spans="1:24" x14ac:dyDescent="0.25">
      <c r="A24" s="3">
        <v>17377602</v>
      </c>
      <c r="B24" s="3" t="s">
        <v>5</v>
      </c>
      <c r="C24" s="46"/>
      <c r="D24" s="32">
        <f t="shared" si="19"/>
        <v>0</v>
      </c>
      <c r="E24" s="32">
        <f>E23+C24</f>
        <v>0</v>
      </c>
      <c r="F24" s="11" t="str">
        <f t="shared" si="20"/>
        <v/>
      </c>
      <c r="G24" s="33">
        <f>IF(E24&lt;100,C24,IF(E24-C24&gt;100,0,MIN(100-(E24-C24))))</f>
        <v>0</v>
      </c>
      <c r="H24" s="33">
        <f>IF(E24&lt;=100,0,IF(E24-C24&gt;150,0,MIN(150,E24)-MAX(100,E24-C24)))</f>
        <v>0</v>
      </c>
      <c r="I24" s="33">
        <f>IF(E24&lt;=150,0,E24-MAX(150,E24-C24))</f>
        <v>0</v>
      </c>
      <c r="J24" s="34">
        <f>F20</f>
        <v>0</v>
      </c>
      <c r="K24" s="33" t="str">
        <f t="shared" si="21"/>
        <v/>
      </c>
      <c r="L24" s="33" t="str">
        <f t="shared" si="22"/>
        <v/>
      </c>
      <c r="M24" s="33" t="str">
        <f t="shared" si="23"/>
        <v/>
      </c>
      <c r="N24" s="35" t="str">
        <f t="shared" si="24"/>
        <v/>
      </c>
      <c r="O24" s="35" t="str">
        <f t="shared" si="17"/>
        <v/>
      </c>
      <c r="P24" s="35" t="str">
        <f t="shared" si="18"/>
        <v/>
      </c>
      <c r="Q24" s="35">
        <f t="shared" si="25"/>
        <v>1.65</v>
      </c>
      <c r="R24" s="35">
        <f>IF(F$20&lt;$K$1,8.6,7.45)</f>
        <v>8.6</v>
      </c>
      <c r="S24" s="33">
        <f>IF(C24&gt;0,T23+1,0)</f>
        <v>0</v>
      </c>
      <c r="T24" s="33">
        <f>IF(C24&gt;0,T23+1,T23)</f>
        <v>0</v>
      </c>
      <c r="U24" s="33" t="str">
        <f>IF(S24&gt;0,A24,"")</f>
        <v/>
      </c>
      <c r="V24" s="33" t="str">
        <f>IF(S24&gt;0,C24,"")</f>
        <v/>
      </c>
      <c r="W24" s="42" t="str">
        <f>IF(S24&gt;0,F24,"")</f>
        <v/>
      </c>
      <c r="X24" s="1" t="str">
        <f t="shared" si="26"/>
        <v/>
      </c>
    </row>
    <row r="25" spans="1:24" x14ac:dyDescent="0.25">
      <c r="A25" s="3">
        <v>17377648</v>
      </c>
      <c r="B25" s="3" t="s">
        <v>6</v>
      </c>
      <c r="C25" s="46"/>
      <c r="D25" s="32">
        <f t="shared" si="19"/>
        <v>0</v>
      </c>
      <c r="E25" s="32">
        <f>E24+C25</f>
        <v>0</v>
      </c>
      <c r="F25" s="11" t="str">
        <f t="shared" si="20"/>
        <v/>
      </c>
      <c r="G25" s="33">
        <f>IF(E25&lt;100,C25,IF(E25-C25&gt;100,0,MIN(100-(E25-C25))))</f>
        <v>0</v>
      </c>
      <c r="H25" s="33">
        <f>IF(E25&lt;=100,0,IF(E25-C25&gt;150,0,MIN(150,E25)-MAX(100,E25-C25)))</f>
        <v>0</v>
      </c>
      <c r="I25" s="33">
        <f>IF(E25&lt;=150,0,E25-MAX(150,E25-C25))</f>
        <v>0</v>
      </c>
      <c r="J25" s="34">
        <f>F20</f>
        <v>0</v>
      </c>
      <c r="K25" s="33" t="str">
        <f t="shared" si="21"/>
        <v/>
      </c>
      <c r="L25" s="33" t="str">
        <f t="shared" si="22"/>
        <v/>
      </c>
      <c r="M25" s="33" t="str">
        <f t="shared" si="23"/>
        <v/>
      </c>
      <c r="N25" s="35" t="str">
        <f t="shared" si="24"/>
        <v/>
      </c>
      <c r="O25" s="35" t="str">
        <f t="shared" si="17"/>
        <v/>
      </c>
      <c r="P25" s="35" t="str">
        <f t="shared" si="18"/>
        <v/>
      </c>
      <c r="Q25" s="35">
        <f t="shared" si="25"/>
        <v>1.65</v>
      </c>
      <c r="R25" s="35">
        <f>IF(F$20&lt;$K$1,8.6,7.45)</f>
        <v>8.6</v>
      </c>
      <c r="S25" s="33">
        <f>IF(C25&gt;0,T24+1,0)</f>
        <v>0</v>
      </c>
      <c r="T25" s="33">
        <f>IF(C25&gt;0,T24+1,T24)</f>
        <v>0</v>
      </c>
      <c r="U25" s="33" t="str">
        <f>IF(S25&gt;0,A25,"")</f>
        <v/>
      </c>
      <c r="V25" s="33" t="str">
        <f>IF(S25&gt;0,C25,"")</f>
        <v/>
      </c>
      <c r="W25" s="42" t="str">
        <f>IF(S25&gt;0,F25,"")</f>
        <v/>
      </c>
      <c r="X25" s="1" t="str">
        <f t="shared" si="26"/>
        <v/>
      </c>
    </row>
    <row r="26" spans="1:24" x14ac:dyDescent="0.25">
      <c r="A26" s="3"/>
      <c r="B26" s="2" t="s">
        <v>8</v>
      </c>
      <c r="C26" s="8">
        <f>SUM(C22:C25)</f>
        <v>0</v>
      </c>
      <c r="D26" s="32"/>
      <c r="E26" s="32"/>
      <c r="F26" s="11">
        <f>SUM(F22:F25)</f>
        <v>0</v>
      </c>
      <c r="X26" s="1"/>
    </row>
    <row r="27" spans="1:24" x14ac:dyDescent="0.25">
      <c r="A27" s="1"/>
      <c r="B27" s="1"/>
      <c r="C27" s="7"/>
      <c r="F27" s="7"/>
      <c r="X27" s="1"/>
    </row>
    <row r="28" spans="1:24" ht="15.75" x14ac:dyDescent="0.25">
      <c r="A28" s="50" t="s">
        <v>27</v>
      </c>
      <c r="B28" s="50"/>
      <c r="C28" s="6" t="s">
        <v>18</v>
      </c>
      <c r="D28" s="29"/>
      <c r="E28" s="30"/>
      <c r="F28" s="47"/>
      <c r="X28" s="1" t="str">
        <f>IF(F28&lt;$K$3, "Eine Belieferung der Ärzte kann erst ab dem 31.05.2021 erfolgen", "")</f>
        <v>Eine Belieferung der Ärzte kann erst ab dem 31.05.2021 erfolgen</v>
      </c>
    </row>
    <row r="29" spans="1:24" s="10" customFormat="1" x14ac:dyDescent="0.25">
      <c r="A29" s="2" t="s">
        <v>0</v>
      </c>
      <c r="B29" s="2" t="s">
        <v>7</v>
      </c>
      <c r="C29" s="2" t="s">
        <v>1</v>
      </c>
      <c r="D29" s="31" t="s">
        <v>44</v>
      </c>
      <c r="E29" s="31" t="s">
        <v>45</v>
      </c>
      <c r="F29" s="2" t="s">
        <v>2</v>
      </c>
      <c r="G29" s="41"/>
      <c r="H29" s="41"/>
      <c r="I29" s="41"/>
      <c r="J29" s="41"/>
      <c r="K29" s="41"/>
      <c r="L29" s="41"/>
      <c r="M29" s="41"/>
      <c r="N29" s="43"/>
      <c r="O29" s="43"/>
      <c r="P29" s="43"/>
      <c r="Q29" s="43"/>
      <c r="R29" s="43"/>
      <c r="S29" s="41"/>
      <c r="T29" s="41"/>
      <c r="U29" s="41"/>
      <c r="V29" s="41"/>
      <c r="W29" s="41"/>
      <c r="X29" s="44"/>
    </row>
    <row r="30" spans="1:24" x14ac:dyDescent="0.25">
      <c r="A30" s="3">
        <v>17377625</v>
      </c>
      <c r="B30" s="3" t="s">
        <v>3</v>
      </c>
      <c r="C30" s="46"/>
      <c r="D30" s="32">
        <f>ROUND(C30,0)</f>
        <v>0</v>
      </c>
      <c r="E30" s="32">
        <f>E25+C30</f>
        <v>0</v>
      </c>
      <c r="F30" s="11" t="str">
        <f>IF(AND(C30&gt;0,X30="",J30&gt;=$K$3), N30+O30+P30, "")</f>
        <v/>
      </c>
      <c r="G30" s="33">
        <f>IF(E30&lt;100,C30,IF(E30-C30&gt;100,0,MIN(100-(E30-C30))))</f>
        <v>0</v>
      </c>
      <c r="H30" s="33">
        <f>IF(E30&lt;=100,0,IF(E30-C30&gt;150,0,MIN(150,E30)-MAX(100,E30-C30)))</f>
        <v>0</v>
      </c>
      <c r="I30" s="33">
        <f>IF(E30&lt;=150,0,E30-MAX(150,E30-C30))</f>
        <v>0</v>
      </c>
      <c r="J30" s="34">
        <f>F28</f>
        <v>0</v>
      </c>
      <c r="K30" s="33" t="str">
        <f>IF($J30&lt;$K$3, "", IF($J30&lt;$K$2,6.58,7.58))</f>
        <v/>
      </c>
      <c r="L30" s="33" t="str">
        <f>IF($J30&lt;$K$3, "", IF($J30&lt;$K$2,4.28,4.92))</f>
        <v/>
      </c>
      <c r="M30" s="33" t="str">
        <f>IF($J30&lt;$K$3, "", IF($J30&lt;$K$2,2.19,2.52))</f>
        <v/>
      </c>
      <c r="N30" s="35" t="str">
        <f>IF($J30&lt;$K$3, "",G30*ROUND((K30+$Q30+$R30)*1.19,2))</f>
        <v/>
      </c>
      <c r="O30" s="35" t="str">
        <f t="shared" ref="O30:O33" si="27">IF($J30&lt;$K$3, "",H30*ROUND((L30+$Q30+$R30)*1.19,2))</f>
        <v/>
      </c>
      <c r="P30" s="35" t="str">
        <f t="shared" ref="P30:P33" si="28">IF($J30&lt;$K$3, "",I30*ROUND((M30+$Q30+$R30)*1.19,2))</f>
        <v/>
      </c>
      <c r="Q30" s="35">
        <f>1.65</f>
        <v>1.65</v>
      </c>
      <c r="R30" s="35">
        <f>IF(F$28&lt;$K$1,8.6,7.45)</f>
        <v>8.6</v>
      </c>
      <c r="S30" s="33">
        <f>IF(C30&gt;0,1,0)</f>
        <v>0</v>
      </c>
      <c r="T30" s="33">
        <f>S30</f>
        <v>0</v>
      </c>
      <c r="U30" s="33" t="str">
        <f>IF(S30&gt;0,A30,"")</f>
        <v/>
      </c>
      <c r="V30" s="33" t="str">
        <f>IF(S30&gt;0,C30,"")</f>
        <v/>
      </c>
      <c r="W30" s="42" t="str">
        <f>IF(S30&gt;0,F30,"")</f>
        <v/>
      </c>
      <c r="X30" s="1" t="str">
        <f>IF(C30&gt;9999,"Der Faktor darf nur 4-stellig sein",IF(C30&lt;0,"Der Faktor darf nicht negativ sein",IF(C30&lt;&gt;D30,"Der Faktor muss ganzzahlig sein","")))</f>
        <v/>
      </c>
    </row>
    <row r="31" spans="1:24" x14ac:dyDescent="0.25">
      <c r="A31" s="3">
        <v>17377588</v>
      </c>
      <c r="B31" s="3" t="s">
        <v>4</v>
      </c>
      <c r="C31" s="46"/>
      <c r="D31" s="32">
        <f t="shared" ref="D31:D33" si="29">ROUND(C31,0)</f>
        <v>0</v>
      </c>
      <c r="E31" s="32">
        <f>E30+C31</f>
        <v>0</v>
      </c>
      <c r="F31" s="11" t="str">
        <f t="shared" ref="F31:F33" si="30">IF(AND(C31&gt;0,X31="",J31&gt;=$K$3), N31+O31+P31, "")</f>
        <v/>
      </c>
      <c r="G31" s="33">
        <f>IF(E31&lt;100,C31,IF(E31-C31&gt;100,0,MIN(100-(E31-C31))))</f>
        <v>0</v>
      </c>
      <c r="H31" s="33">
        <f>IF(E31&lt;=100,0,IF(E31-C31&gt;150,0,MIN(150,E31)-MAX(100,E31-C31)))</f>
        <v>0</v>
      </c>
      <c r="I31" s="33">
        <f>IF(E31&lt;=150,0,E31-MAX(150,E31-C31))</f>
        <v>0</v>
      </c>
      <c r="J31" s="34">
        <f>F28</f>
        <v>0</v>
      </c>
      <c r="K31" s="33" t="str">
        <f t="shared" ref="K31:K33" si="31">IF($J31&lt;$K$3, "", IF($J31&lt;$K$2,6.58,7.58))</f>
        <v/>
      </c>
      <c r="L31" s="33" t="str">
        <f t="shared" ref="L31:L33" si="32">IF($J31&lt;$K$3, "", IF($J31&lt;$K$2,4.28,4.92))</f>
        <v/>
      </c>
      <c r="M31" s="33" t="str">
        <f t="shared" ref="M31:M33" si="33">IF($J31&lt;$K$3, "", IF($J31&lt;$K$2,2.19,2.52))</f>
        <v/>
      </c>
      <c r="N31" s="35" t="str">
        <f t="shared" ref="N31:N33" si="34">IF($J31&lt;$K$3, "",G31*ROUND((K31+$Q31+$R31)*1.19,2))</f>
        <v/>
      </c>
      <c r="O31" s="35" t="str">
        <f t="shared" si="27"/>
        <v/>
      </c>
      <c r="P31" s="35" t="str">
        <f t="shared" si="28"/>
        <v/>
      </c>
      <c r="Q31" s="35">
        <f t="shared" ref="Q31:Q33" si="35">1.65</f>
        <v>1.65</v>
      </c>
      <c r="R31" s="35">
        <f>IF(F$28&lt;$K$1,8.6,7.45)</f>
        <v>8.6</v>
      </c>
      <c r="S31" s="33">
        <f>IF(C31&gt;0,T30+1,0)</f>
        <v>0</v>
      </c>
      <c r="T31" s="33">
        <f>IF(C31&gt;0,T30+1,T30)</f>
        <v>0</v>
      </c>
      <c r="U31" s="33" t="str">
        <f>IF(S31&gt;0,A31,"")</f>
        <v/>
      </c>
      <c r="V31" s="33" t="str">
        <f>IF(S31&gt;0,C31,"")</f>
        <v/>
      </c>
      <c r="W31" s="42" t="str">
        <f>IF(S31&gt;0,F31,"")</f>
        <v/>
      </c>
      <c r="X31" s="1" t="str">
        <f t="shared" ref="X31:X33" si="36">IF(C31&gt;9999,"Der Faktor darf nur 4-stellig sein",IF(C31&lt;0,"Der Faktor darf nicht negativ sein",IF(C31&lt;&gt;D31,"Der Faktor muss ganzzahlig sein","")))</f>
        <v/>
      </c>
    </row>
    <row r="32" spans="1:24" x14ac:dyDescent="0.25">
      <c r="A32" s="3">
        <v>17377602</v>
      </c>
      <c r="B32" s="3" t="s">
        <v>5</v>
      </c>
      <c r="C32" s="46"/>
      <c r="D32" s="32">
        <f t="shared" si="29"/>
        <v>0</v>
      </c>
      <c r="E32" s="32">
        <f>E31+C32</f>
        <v>0</v>
      </c>
      <c r="F32" s="11" t="str">
        <f t="shared" si="30"/>
        <v/>
      </c>
      <c r="G32" s="33">
        <f>IF(E32&lt;100,C32,IF(E32-C32&gt;100,0,MIN(100-(E32-C32))))</f>
        <v>0</v>
      </c>
      <c r="H32" s="33">
        <f>IF(E32&lt;=100,0,IF(E32-C32&gt;150,0,MIN(150,E32)-MAX(100,E32-C32)))</f>
        <v>0</v>
      </c>
      <c r="I32" s="33">
        <f>IF(E32&lt;=150,0,E32-MAX(150,E32-C32))</f>
        <v>0</v>
      </c>
      <c r="J32" s="34">
        <f>F28</f>
        <v>0</v>
      </c>
      <c r="K32" s="33" t="str">
        <f t="shared" si="31"/>
        <v/>
      </c>
      <c r="L32" s="33" t="str">
        <f t="shared" si="32"/>
        <v/>
      </c>
      <c r="M32" s="33" t="str">
        <f t="shared" si="33"/>
        <v/>
      </c>
      <c r="N32" s="35" t="str">
        <f t="shared" si="34"/>
        <v/>
      </c>
      <c r="O32" s="35" t="str">
        <f t="shared" si="27"/>
        <v/>
      </c>
      <c r="P32" s="35" t="str">
        <f t="shared" si="28"/>
        <v/>
      </c>
      <c r="Q32" s="35">
        <f t="shared" si="35"/>
        <v>1.65</v>
      </c>
      <c r="R32" s="35">
        <f>IF(F$28&lt;$K$1,8.6,7.45)</f>
        <v>8.6</v>
      </c>
      <c r="S32" s="33">
        <f>IF(C32&gt;0,T31+1,0)</f>
        <v>0</v>
      </c>
      <c r="T32" s="33">
        <f>IF(C32&gt;0,T31+1,T31)</f>
        <v>0</v>
      </c>
      <c r="U32" s="33" t="str">
        <f>IF(S32&gt;0,A32,"")</f>
        <v/>
      </c>
      <c r="V32" s="33" t="str">
        <f>IF(S32&gt;0,C32,"")</f>
        <v/>
      </c>
      <c r="W32" s="42" t="str">
        <f>IF(S32&gt;0,F32,"")</f>
        <v/>
      </c>
      <c r="X32" s="1" t="str">
        <f t="shared" si="36"/>
        <v/>
      </c>
    </row>
    <row r="33" spans="1:24" x14ac:dyDescent="0.25">
      <c r="A33" s="3">
        <v>17377648</v>
      </c>
      <c r="B33" s="3" t="s">
        <v>6</v>
      </c>
      <c r="C33" s="46"/>
      <c r="D33" s="32">
        <f t="shared" si="29"/>
        <v>0</v>
      </c>
      <c r="E33" s="32">
        <f>E32+C33</f>
        <v>0</v>
      </c>
      <c r="F33" s="11" t="str">
        <f t="shared" si="30"/>
        <v/>
      </c>
      <c r="G33" s="33">
        <f>IF(E33&lt;100,C33,IF(E33-C33&gt;100,0,MIN(100-(E33-C33))))</f>
        <v>0</v>
      </c>
      <c r="H33" s="33">
        <f>IF(E33&lt;=100,0,IF(E33-C33&gt;150,0,MIN(150,E33)-MAX(100,E33-C33)))</f>
        <v>0</v>
      </c>
      <c r="I33" s="33">
        <f>IF(E33&lt;=150,0,E33-MAX(150,E33-C33))</f>
        <v>0</v>
      </c>
      <c r="J33" s="34">
        <f>F28</f>
        <v>0</v>
      </c>
      <c r="K33" s="33" t="str">
        <f t="shared" si="31"/>
        <v/>
      </c>
      <c r="L33" s="33" t="str">
        <f t="shared" si="32"/>
        <v/>
      </c>
      <c r="M33" s="33" t="str">
        <f t="shared" si="33"/>
        <v/>
      </c>
      <c r="N33" s="35" t="str">
        <f t="shared" si="34"/>
        <v/>
      </c>
      <c r="O33" s="35" t="str">
        <f t="shared" si="27"/>
        <v/>
      </c>
      <c r="P33" s="35" t="str">
        <f t="shared" si="28"/>
        <v/>
      </c>
      <c r="Q33" s="35">
        <f t="shared" si="35"/>
        <v>1.65</v>
      </c>
      <c r="R33" s="35">
        <f>IF(F$28&lt;$K$1,8.6,7.45)</f>
        <v>8.6</v>
      </c>
      <c r="S33" s="33">
        <f>IF(C33&gt;0,T32+1,0)</f>
        <v>0</v>
      </c>
      <c r="T33" s="33">
        <f>IF(C33&gt;0,T32+1,T32)</f>
        <v>0</v>
      </c>
      <c r="U33" s="33" t="str">
        <f>IF(S33&gt;0,A33,"")</f>
        <v/>
      </c>
      <c r="V33" s="33" t="str">
        <f>IF(S33&gt;0,C33,"")</f>
        <v/>
      </c>
      <c r="W33" s="42" t="str">
        <f>IF(S33&gt;0,F33,"")</f>
        <v/>
      </c>
      <c r="X33" s="1" t="str">
        <f t="shared" si="36"/>
        <v/>
      </c>
    </row>
    <row r="34" spans="1:24" x14ac:dyDescent="0.25">
      <c r="A34" s="3"/>
      <c r="B34" s="2" t="s">
        <v>8</v>
      </c>
      <c r="C34" s="8">
        <f>SUM(C30:C33)</f>
        <v>0</v>
      </c>
      <c r="D34" s="32"/>
      <c r="E34" s="32"/>
      <c r="F34" s="11">
        <f>SUM(F30:F33)</f>
        <v>0</v>
      </c>
      <c r="X34" s="1"/>
    </row>
    <row r="35" spans="1:24" x14ac:dyDescent="0.25">
      <c r="A35" s="1"/>
      <c r="B35" s="1"/>
      <c r="C35" s="7"/>
      <c r="F35" s="7"/>
      <c r="X35" s="1"/>
    </row>
    <row r="36" spans="1:24" ht="15.75" x14ac:dyDescent="0.25">
      <c r="A36" s="50" t="s">
        <v>28</v>
      </c>
      <c r="B36" s="50"/>
      <c r="C36" s="6" t="s">
        <v>18</v>
      </c>
      <c r="D36" s="29"/>
      <c r="E36" s="30"/>
      <c r="F36" s="47"/>
      <c r="X36" s="1" t="str">
        <f>IF(F36&lt;$K$3, "Eine Belieferung der Ärzte kann erst ab dem 31.05.2021 erfolgen", "")</f>
        <v>Eine Belieferung der Ärzte kann erst ab dem 31.05.2021 erfolgen</v>
      </c>
    </row>
    <row r="37" spans="1:24" s="10" customFormat="1" x14ac:dyDescent="0.25">
      <c r="A37" s="2" t="s">
        <v>0</v>
      </c>
      <c r="B37" s="2" t="s">
        <v>7</v>
      </c>
      <c r="C37" s="2" t="s">
        <v>1</v>
      </c>
      <c r="D37" s="31" t="s">
        <v>44</v>
      </c>
      <c r="E37" s="31" t="s">
        <v>45</v>
      </c>
      <c r="F37" s="2" t="s">
        <v>2</v>
      </c>
      <c r="G37" s="41"/>
      <c r="H37" s="41"/>
      <c r="I37" s="41"/>
      <c r="J37" s="41"/>
      <c r="K37" s="41"/>
      <c r="L37" s="41"/>
      <c r="M37" s="41"/>
      <c r="N37" s="43"/>
      <c r="O37" s="43"/>
      <c r="P37" s="43"/>
      <c r="Q37" s="43"/>
      <c r="R37" s="43"/>
      <c r="S37" s="41"/>
      <c r="T37" s="41"/>
      <c r="U37" s="41"/>
      <c r="V37" s="41"/>
      <c r="W37" s="41"/>
      <c r="X37" s="44"/>
    </row>
    <row r="38" spans="1:24" x14ac:dyDescent="0.25">
      <c r="A38" s="3">
        <v>17377625</v>
      </c>
      <c r="B38" s="3" t="s">
        <v>3</v>
      </c>
      <c r="C38" s="46"/>
      <c r="D38" s="32">
        <f>ROUND(C38,0)</f>
        <v>0</v>
      </c>
      <c r="E38" s="32">
        <f>E33+C38</f>
        <v>0</v>
      </c>
      <c r="F38" s="11" t="str">
        <f>IF(AND(C38&gt;0,X38="",J38&gt;=$K$3), N38+O38+P38, "")</f>
        <v/>
      </c>
      <c r="G38" s="33">
        <f>IF(E38&lt;100,C38,IF(E38-C38&gt;100,0,MIN(100-(E38-C38))))</f>
        <v>0</v>
      </c>
      <c r="H38" s="33">
        <f>IF(E38&lt;=100,0,IF(E38-C38&gt;150,0,MIN(150,E38)-MAX(100,E38-C38)))</f>
        <v>0</v>
      </c>
      <c r="I38" s="33">
        <f t="shared" ref="I38:I39" si="37">IF(E38&lt;=150,0,E38-MAX(150,E38-C38))</f>
        <v>0</v>
      </c>
      <c r="J38" s="34">
        <f>F36</f>
        <v>0</v>
      </c>
      <c r="K38" s="33" t="str">
        <f>IF($J38&lt;$K$3, "", IF($J38&lt;$K$2,6.58,7.58))</f>
        <v/>
      </c>
      <c r="L38" s="33" t="str">
        <f>IF($J38&lt;$K$3, "", IF($J38&lt;$K$2,4.28,4.92))</f>
        <v/>
      </c>
      <c r="M38" s="33" t="str">
        <f>IF($J38&lt;$K$3, "", IF($J38&lt;$K$2,2.19,2.52))</f>
        <v/>
      </c>
      <c r="N38" s="35" t="str">
        <f>IF($J38&lt;$K$3, "",G38*ROUND((K38+$Q38+$R38)*1.19,2))</f>
        <v/>
      </c>
      <c r="O38" s="35" t="str">
        <f t="shared" ref="O38:O41" si="38">IF($J38&lt;$K$3, "",H38*ROUND((L38+$Q38+$R38)*1.19,2))</f>
        <v/>
      </c>
      <c r="P38" s="35" t="str">
        <f t="shared" ref="P38:P41" si="39">IF($J38&lt;$K$3, "",I38*ROUND((M38+$Q38+$R38)*1.19,2))</f>
        <v/>
      </c>
      <c r="Q38" s="35">
        <f>1.65</f>
        <v>1.65</v>
      </c>
      <c r="R38" s="35">
        <f>IF(F$36&lt;$K$1,8.6,7.45)</f>
        <v>8.6</v>
      </c>
      <c r="S38" s="33">
        <f>IF(C38&gt;0,1,0)</f>
        <v>0</v>
      </c>
      <c r="T38" s="33">
        <f>S38</f>
        <v>0</v>
      </c>
      <c r="U38" s="33" t="str">
        <f>IF(S38&gt;0,A38,"")</f>
        <v/>
      </c>
      <c r="V38" s="33" t="str">
        <f>IF(S38&gt;0,C38,"")</f>
        <v/>
      </c>
      <c r="W38" s="42" t="str">
        <f>IF(S38&gt;0,F38,"")</f>
        <v/>
      </c>
      <c r="X38" s="1" t="str">
        <f>IF(C38&gt;9999,"Der Faktor darf nur 4-stellig sein",IF(C38&lt;0,"Der Faktor darf nicht negativ sein",IF(C38&lt;&gt;D38,"Der Faktor muss ganzzahlig sein","")))</f>
        <v/>
      </c>
    </row>
    <row r="39" spans="1:24" x14ac:dyDescent="0.25">
      <c r="A39" s="3">
        <v>17377588</v>
      </c>
      <c r="B39" s="3" t="s">
        <v>4</v>
      </c>
      <c r="C39" s="46"/>
      <c r="D39" s="32">
        <f t="shared" ref="D39:D41" si="40">ROUND(C39,0)</f>
        <v>0</v>
      </c>
      <c r="E39" s="32">
        <f>E38+C39</f>
        <v>0</v>
      </c>
      <c r="F39" s="11" t="str">
        <f t="shared" ref="F39:F41" si="41">IF(AND(C39&gt;0,X39="",J39&gt;=$K$3), N39+O39+P39, "")</f>
        <v/>
      </c>
      <c r="G39" s="33">
        <f>IF(E39&lt;100,C39,IF(E39-C39&gt;100,0,MIN(100-(E39-C39))))</f>
        <v>0</v>
      </c>
      <c r="H39" s="33">
        <f>IF(E39&lt;=100,0,IF(E39-C39&gt;150,0,MIN(150,E39)-MAX(100,E39-C39)))</f>
        <v>0</v>
      </c>
      <c r="I39" s="33">
        <f t="shared" si="37"/>
        <v>0</v>
      </c>
      <c r="J39" s="34">
        <f>F36</f>
        <v>0</v>
      </c>
      <c r="K39" s="33" t="str">
        <f t="shared" ref="K39:K41" si="42">IF($J39&lt;$K$3, "", IF($J39&lt;$K$2,6.58,7.58))</f>
        <v/>
      </c>
      <c r="L39" s="33" t="str">
        <f t="shared" ref="L39:L41" si="43">IF($J39&lt;$K$3, "", IF($J39&lt;$K$2,4.28,4.92))</f>
        <v/>
      </c>
      <c r="M39" s="33" t="str">
        <f t="shared" ref="M39:M41" si="44">IF($J39&lt;$K$3, "", IF($J39&lt;$K$2,2.19,2.52))</f>
        <v/>
      </c>
      <c r="N39" s="35" t="str">
        <f t="shared" ref="N39:N41" si="45">IF($J39&lt;$K$3, "",G39*ROUND((K39+$Q39+$R39)*1.19,2))</f>
        <v/>
      </c>
      <c r="O39" s="35" t="str">
        <f t="shared" si="38"/>
        <v/>
      </c>
      <c r="P39" s="35" t="str">
        <f t="shared" si="39"/>
        <v/>
      </c>
      <c r="Q39" s="35">
        <f t="shared" ref="Q39:Q41" si="46">1.65</f>
        <v>1.65</v>
      </c>
      <c r="R39" s="35">
        <f>IF(F$36&lt;$K$1,8.6,7.45)</f>
        <v>8.6</v>
      </c>
      <c r="S39" s="33">
        <f>IF(C39&gt;0,T38+1,0)</f>
        <v>0</v>
      </c>
      <c r="T39" s="33">
        <f>IF(C39&gt;0,T38+1,T38)</f>
        <v>0</v>
      </c>
      <c r="U39" s="33" t="str">
        <f>IF(S39&gt;0,A39,"")</f>
        <v/>
      </c>
      <c r="V39" s="33" t="str">
        <f>IF(S39&gt;0,C39,"")</f>
        <v/>
      </c>
      <c r="W39" s="42" t="str">
        <f>IF(S39&gt;0,F39,"")</f>
        <v/>
      </c>
      <c r="X39" s="1" t="str">
        <f t="shared" ref="X39:X41" si="47">IF(C39&gt;9999,"Der Faktor darf nur 4-stellig sein",IF(C39&lt;0,"Der Faktor darf nicht negativ sein",IF(C39&lt;&gt;D39,"Der Faktor muss ganzzahlig sein","")))</f>
        <v/>
      </c>
    </row>
    <row r="40" spans="1:24" x14ac:dyDescent="0.25">
      <c r="A40" s="3">
        <v>17377602</v>
      </c>
      <c r="B40" s="3" t="s">
        <v>5</v>
      </c>
      <c r="C40" s="46"/>
      <c r="D40" s="32">
        <f t="shared" si="40"/>
        <v>0</v>
      </c>
      <c r="E40" s="32">
        <f t="shared" ref="E40:E41" si="48">E39+C40</f>
        <v>0</v>
      </c>
      <c r="F40" s="11" t="str">
        <f t="shared" si="41"/>
        <v/>
      </c>
      <c r="G40" s="33">
        <f>IF(E40&lt;100,C40,IF(E40-C40&gt;100,0,MIN(100-(E40-C40))))</f>
        <v>0</v>
      </c>
      <c r="H40" s="33">
        <f>IF(E40&lt;=100,0,IF(E40-C40&gt;150,0,MIN(150,E40)-MAX(100,E40-C40)))</f>
        <v>0</v>
      </c>
      <c r="I40" s="33">
        <f>IF(E40&lt;=150,0,E40-MAX(150,E40-C40))</f>
        <v>0</v>
      </c>
      <c r="J40" s="34">
        <f>F36</f>
        <v>0</v>
      </c>
      <c r="K40" s="33" t="str">
        <f t="shared" si="42"/>
        <v/>
      </c>
      <c r="L40" s="33" t="str">
        <f t="shared" si="43"/>
        <v/>
      </c>
      <c r="M40" s="33" t="str">
        <f t="shared" si="44"/>
        <v/>
      </c>
      <c r="N40" s="35" t="str">
        <f t="shared" si="45"/>
        <v/>
      </c>
      <c r="O40" s="35" t="str">
        <f t="shared" si="38"/>
        <v/>
      </c>
      <c r="P40" s="35" t="str">
        <f t="shared" si="39"/>
        <v/>
      </c>
      <c r="Q40" s="35">
        <f t="shared" si="46"/>
        <v>1.65</v>
      </c>
      <c r="R40" s="35">
        <f>IF(F$36&lt;$K$1,8.6,7.45)</f>
        <v>8.6</v>
      </c>
      <c r="S40" s="33">
        <f>IF(C40&gt;0,T39+1,0)</f>
        <v>0</v>
      </c>
      <c r="T40" s="33">
        <f>IF(C40&gt;0,T39+1,T39)</f>
        <v>0</v>
      </c>
      <c r="U40" s="33" t="str">
        <f>IF(S40&gt;0,A40,"")</f>
        <v/>
      </c>
      <c r="V40" s="33" t="str">
        <f>IF(S40&gt;0,C40,"")</f>
        <v/>
      </c>
      <c r="W40" s="42" t="str">
        <f>IF(S40&gt;0,F40,"")</f>
        <v/>
      </c>
      <c r="X40" s="1" t="str">
        <f t="shared" si="47"/>
        <v/>
      </c>
    </row>
    <row r="41" spans="1:24" x14ac:dyDescent="0.25">
      <c r="A41" s="3">
        <v>17377648</v>
      </c>
      <c r="B41" s="3" t="s">
        <v>6</v>
      </c>
      <c r="C41" s="46"/>
      <c r="D41" s="32">
        <f t="shared" si="40"/>
        <v>0</v>
      </c>
      <c r="E41" s="32">
        <f t="shared" si="48"/>
        <v>0</v>
      </c>
      <c r="F41" s="11" t="str">
        <f t="shared" si="41"/>
        <v/>
      </c>
      <c r="G41" s="33">
        <f>IF(E41&lt;100,C41,IF(E41-C41&gt;100,0,MIN(100-(E41-C41))))</f>
        <v>0</v>
      </c>
      <c r="H41" s="33">
        <f>IF(E41&lt;=100,0,IF(E41-C41&gt;150,0,MIN(150,E41)-MAX(100,E41-C41)))</f>
        <v>0</v>
      </c>
      <c r="I41" s="33">
        <f t="shared" ref="I41" si="49">IF(E41&lt;=150,0,E41-MAX(150,E41-C41))</f>
        <v>0</v>
      </c>
      <c r="J41" s="34">
        <f>F36</f>
        <v>0</v>
      </c>
      <c r="K41" s="33" t="str">
        <f t="shared" si="42"/>
        <v/>
      </c>
      <c r="L41" s="33" t="str">
        <f t="shared" si="43"/>
        <v/>
      </c>
      <c r="M41" s="33" t="str">
        <f t="shared" si="44"/>
        <v/>
      </c>
      <c r="N41" s="35" t="str">
        <f t="shared" si="45"/>
        <v/>
      </c>
      <c r="O41" s="35" t="str">
        <f t="shared" si="38"/>
        <v/>
      </c>
      <c r="P41" s="35" t="str">
        <f t="shared" si="39"/>
        <v/>
      </c>
      <c r="Q41" s="35">
        <f t="shared" si="46"/>
        <v>1.65</v>
      </c>
      <c r="R41" s="35">
        <f>IF(F$36&lt;$K$1,8.6,7.45)</f>
        <v>8.6</v>
      </c>
      <c r="S41" s="33">
        <f>IF(C41&gt;0,T40+1,0)</f>
        <v>0</v>
      </c>
      <c r="T41" s="33">
        <f>IF(C41&gt;0,T40+1,T40)</f>
        <v>0</v>
      </c>
      <c r="U41" s="33" t="str">
        <f>IF(S41&gt;0,A41,"")</f>
        <v/>
      </c>
      <c r="V41" s="33" t="str">
        <f>IF(S41&gt;0,C41,"")</f>
        <v/>
      </c>
      <c r="W41" s="42" t="str">
        <f>IF(S41&gt;0,F41,"")</f>
        <v/>
      </c>
      <c r="X41" s="1" t="str">
        <f t="shared" si="47"/>
        <v/>
      </c>
    </row>
    <row r="42" spans="1:24" x14ac:dyDescent="0.25">
      <c r="A42" s="3"/>
      <c r="B42" s="2" t="s">
        <v>8</v>
      </c>
      <c r="C42" s="8">
        <f>SUM(C38:C41)</f>
        <v>0</v>
      </c>
      <c r="D42" s="32"/>
      <c r="E42" s="32"/>
      <c r="F42" s="11">
        <f>SUM(F38:F41)</f>
        <v>0</v>
      </c>
    </row>
    <row r="43" spans="1:24" x14ac:dyDescent="0.25">
      <c r="A43" s="1"/>
      <c r="B43" s="1"/>
      <c r="C43" s="7"/>
      <c r="F43" s="7"/>
    </row>
    <row r="44" spans="1:24" x14ac:dyDescent="0.25">
      <c r="F44" s="20"/>
      <c r="G44" s="33">
        <f>SUM(G6:G43)</f>
        <v>0</v>
      </c>
      <c r="H44" s="33">
        <f t="shared" ref="H44:P44" si="50">SUM(H6:H43)</f>
        <v>0</v>
      </c>
      <c r="I44" s="33">
        <f t="shared" si="50"/>
        <v>0</v>
      </c>
      <c r="N44" s="35">
        <f t="shared" si="50"/>
        <v>0</v>
      </c>
      <c r="O44" s="35">
        <f t="shared" si="50"/>
        <v>0</v>
      </c>
      <c r="P44" s="35">
        <f t="shared" si="50"/>
        <v>0</v>
      </c>
    </row>
  </sheetData>
  <sheetProtection algorithmName="SHA-512" hashValue="/gtIwbvyVfxklaPz7xuib3Onh20eWCyJv5JIm2scux2vHngfWxG9vF4xq/WEbI3L9zYP7BUYtcM8b9kYUhaMLA==" saltValue="Z3B2zbSIZJqF5k+G/uN0FQ==" spinCount="100000" sheet="1" objects="1" scenarios="1" selectLockedCells="1"/>
  <mergeCells count="14">
    <mergeCell ref="A36:B36"/>
    <mergeCell ref="G4:I4"/>
    <mergeCell ref="N4:P4"/>
    <mergeCell ref="K4:M4"/>
    <mergeCell ref="A4:B4"/>
    <mergeCell ref="A12:B12"/>
    <mergeCell ref="A20:B20"/>
    <mergeCell ref="Q4:R4"/>
    <mergeCell ref="A28:B28"/>
    <mergeCell ref="G1:I1"/>
    <mergeCell ref="G2:I2"/>
    <mergeCell ref="G3:I3"/>
    <mergeCell ref="C1:F1"/>
    <mergeCell ref="C2:F2"/>
  </mergeCells>
  <pageMargins left="0.7" right="0.7" top="0.78740157499999996" bottom="0.78740157499999996"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
  <sheetViews>
    <sheetView topLeftCell="E1" workbookViewId="0">
      <selection activeCell="E13" sqref="E13"/>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CONCATENATE("+",MOD(Datenerfassung!A2,10000000),"+")</f>
        <v>+0+</v>
      </c>
    </row>
    <row r="2" spans="1:9" ht="12" customHeight="1" x14ac:dyDescent="0.25"/>
    <row r="3" spans="1:9" x14ac:dyDescent="0.25">
      <c r="G3" s="21">
        <v>0</v>
      </c>
      <c r="H3" s="55">
        <f>SUM(I6:I9)/100</f>
        <v>0</v>
      </c>
      <c r="I3" s="55"/>
    </row>
    <row r="4" spans="1:9" ht="10.5" customHeight="1" x14ac:dyDescent="0.25">
      <c r="I4" s="14"/>
    </row>
    <row r="5" spans="1:9" hidden="1" x14ac:dyDescent="0.25">
      <c r="A5" s="25" t="s">
        <v>16</v>
      </c>
      <c r="B5" s="25" t="s">
        <v>0</v>
      </c>
      <c r="C5" s="25" t="s">
        <v>1</v>
      </c>
      <c r="D5" s="25" t="s">
        <v>17</v>
      </c>
      <c r="G5" s="12" t="s">
        <v>0</v>
      </c>
      <c r="H5" s="12" t="s">
        <v>1</v>
      </c>
      <c r="I5" s="12" t="s">
        <v>17</v>
      </c>
    </row>
    <row r="6" spans="1:9" s="5" customFormat="1" ht="22.5" customHeight="1" x14ac:dyDescent="0.25">
      <c r="A6" s="26">
        <v>1</v>
      </c>
      <c r="B6" s="27" t="e">
        <f>VLOOKUP('Beleg 1'!$A6,Datenerfassung!$S$6:$W$9,3,FALSE)</f>
        <v>#N/A</v>
      </c>
      <c r="C6" s="27" t="e">
        <f>VLOOKUP('Beleg 1'!$A6,Datenerfassung!$S$6:$W$9,4,FALSE)</f>
        <v>#N/A</v>
      </c>
      <c r="D6" s="27" t="e">
        <f>VLOOKUP('Beleg 1'!$A6,Datenerfassung!$S$6:$W$9,5,FALSE)</f>
        <v>#N/A</v>
      </c>
      <c r="E6" s="16"/>
      <c r="F6" s="16"/>
      <c r="G6" s="19" t="str">
        <f>IF(ISNA(B6),"",B6)</f>
        <v/>
      </c>
      <c r="H6" s="15" t="str">
        <f t="shared" ref="H6:H9" si="0">IF(ISNA(C6),"",C6)</f>
        <v/>
      </c>
      <c r="I6" s="17" t="str">
        <f>IF(ISNA(D6),"",D6*100)</f>
        <v/>
      </c>
    </row>
    <row r="7" spans="1:9" s="5" customFormat="1" ht="22.5" customHeight="1" x14ac:dyDescent="0.25">
      <c r="A7" s="26">
        <v>2</v>
      </c>
      <c r="B7" s="27" t="e">
        <f>VLOOKUP('Beleg 1'!$A7,Datenerfassung!$S$6:$W$9,3,FALSE)</f>
        <v>#N/A</v>
      </c>
      <c r="C7" s="27" t="e">
        <f>VLOOKUP('Beleg 1'!$A7,Datenerfassung!$S$6:$W$9,4,FALSE)</f>
        <v>#N/A</v>
      </c>
      <c r="D7" s="27" t="e">
        <f>VLOOKUP('Beleg 1'!$A7,Datenerfassung!$S$6:$W$9,5,FALSE)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1'!$A8,Datenerfassung!$S$6:$W$9,3,FALSE)</f>
        <v>#N/A</v>
      </c>
      <c r="C8" s="27" t="e">
        <f>VLOOKUP('Beleg 1'!$A8,Datenerfassung!$S$6:$W$9,4,FALSE)</f>
        <v>#N/A</v>
      </c>
      <c r="D8" s="27" t="e">
        <f>VLOOKUP('Beleg 1'!$A8,Datenerfassung!$S$6:$W$9,5,FALSE)</f>
        <v>#N/A</v>
      </c>
      <c r="E8" s="16"/>
      <c r="F8" s="16"/>
      <c r="G8" s="19" t="str">
        <f t="shared" si="1"/>
        <v/>
      </c>
      <c r="H8" s="15" t="str">
        <f t="shared" si="0"/>
        <v/>
      </c>
      <c r="I8" s="17" t="str">
        <f t="shared" si="2"/>
        <v/>
      </c>
    </row>
    <row r="9" spans="1:9" s="5" customFormat="1" ht="22.5" customHeight="1" x14ac:dyDescent="0.25">
      <c r="A9" s="26">
        <v>4</v>
      </c>
      <c r="B9" s="27" t="e">
        <f>VLOOKUP('Beleg 1'!$A9,Datenerfassung!$S$6:$W$9,3,FALSE)</f>
        <v>#N/A</v>
      </c>
      <c r="C9" s="27" t="e">
        <f>VLOOKUP('Beleg 1'!$A9,Datenerfassung!$S$6:$W$9,4,FALSE)</f>
        <v>#N/A</v>
      </c>
      <c r="D9" s="27" t="e">
        <f>VLOOKUP('Beleg 1'!$A9,Datenerfassung!$S$6:$W$9,5,FALSE)</f>
        <v>#N/A</v>
      </c>
      <c r="E9" s="16"/>
      <c r="F9" s="16"/>
      <c r="G9" s="19" t="str">
        <f t="shared" si="1"/>
        <v/>
      </c>
      <c r="H9" s="15" t="str">
        <f t="shared" si="0"/>
        <v/>
      </c>
      <c r="I9" s="17" t="str">
        <f t="shared" si="2"/>
        <v/>
      </c>
    </row>
    <row r="10" spans="1:9" ht="67.5" customHeight="1" x14ac:dyDescent="0.25"/>
    <row r="11" spans="1:9" x14ac:dyDescent="0.25">
      <c r="E11" s="18">
        <f>Datenerfassung!F4</f>
        <v>0</v>
      </c>
      <c r="F11" s="12">
        <f>Datenerfassung!B2</f>
        <v>0</v>
      </c>
    </row>
  </sheetData>
  <sheetProtection algorithmName="SHA-512" hashValue="80JFLJhBX2tvo5jpsmi9boLfZa79m5CyF9+xlGgMBACr6he8ao06XJc0LBWWWOMcIsvjANslKg5L14b+SUEISQ==" saltValue="p8OW6DSmu6i7G7vBapWVBQ==" spinCount="100000" sheet="1" objects="1" scenarios="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
  <sheetViews>
    <sheetView topLeftCell="E1" workbookViewId="0">
      <selection activeCell="E13" sqref="E13"/>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CONCATENATE("+",MOD(Datenerfassung!A2,10000000),"+")</f>
        <v>+0+</v>
      </c>
    </row>
    <row r="2" spans="1:9" ht="12" customHeight="1" x14ac:dyDescent="0.25"/>
    <row r="3" spans="1:9" x14ac:dyDescent="0.25">
      <c r="G3" s="21">
        <v>0</v>
      </c>
      <c r="H3" s="55">
        <f>SUM(I6:I9)/100</f>
        <v>0</v>
      </c>
      <c r="I3" s="55"/>
    </row>
    <row r="4" spans="1:9" ht="10.5" customHeight="1" x14ac:dyDescent="0.25">
      <c r="I4" s="14"/>
    </row>
    <row r="5" spans="1:9" hidden="1" x14ac:dyDescent="0.25">
      <c r="A5" s="25" t="s">
        <v>16</v>
      </c>
      <c r="B5" s="25" t="s">
        <v>0</v>
      </c>
      <c r="C5" s="25" t="s">
        <v>1</v>
      </c>
      <c r="D5" s="25" t="s">
        <v>17</v>
      </c>
      <c r="G5" s="12" t="s">
        <v>0</v>
      </c>
      <c r="H5" s="12" t="s">
        <v>1</v>
      </c>
      <c r="I5" s="12" t="s">
        <v>17</v>
      </c>
    </row>
    <row r="6" spans="1:9" s="5" customFormat="1" ht="22.5" customHeight="1" x14ac:dyDescent="0.25">
      <c r="A6" s="26">
        <v>1</v>
      </c>
      <c r="B6" s="27" t="e">
        <f>VLOOKUP('Beleg 2'!$A6,Datenerfassung!$S$14:$W$17,3,FALSE)</f>
        <v>#N/A</v>
      </c>
      <c r="C6" s="27" t="e">
        <f>VLOOKUP('Beleg 2'!$A6,Datenerfassung!$S$14:$W$17,4,FALSE)</f>
        <v>#N/A</v>
      </c>
      <c r="D6" s="27" t="e">
        <f>VLOOKUP('Beleg 2'!$A6,Datenerfassung!$S$14:$W$17,5,FALSE)</f>
        <v>#N/A</v>
      </c>
      <c r="E6" s="16"/>
      <c r="F6" s="16"/>
      <c r="G6" s="19" t="str">
        <f>IF(ISNA(B6),"",B6)</f>
        <v/>
      </c>
      <c r="H6" s="15" t="str">
        <f t="shared" ref="H6:H9" si="0">IF(ISNA(C6),"",C6)</f>
        <v/>
      </c>
      <c r="I6" s="17" t="str">
        <f>IF(ISNA(D6),"",D6*100)</f>
        <v/>
      </c>
    </row>
    <row r="7" spans="1:9" s="5" customFormat="1" ht="22.5" customHeight="1" x14ac:dyDescent="0.25">
      <c r="A7" s="26">
        <v>2</v>
      </c>
      <c r="B7" s="27" t="e">
        <f>VLOOKUP('Beleg 2'!$A7,Datenerfassung!$S$14:$W$17,3,FALSE)</f>
        <v>#N/A</v>
      </c>
      <c r="C7" s="27" t="e">
        <f>VLOOKUP('Beleg 2'!$A7,Datenerfassung!$S$14:$W$17,4,FALSE)</f>
        <v>#N/A</v>
      </c>
      <c r="D7" s="27" t="e">
        <f>VLOOKUP('Beleg 2'!$A7,Datenerfassung!$S$14:$W$17,5,FALSE)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2'!$A8,Datenerfassung!$S$14:$W$17,3,FALSE)</f>
        <v>#N/A</v>
      </c>
      <c r="C8" s="27" t="e">
        <f>VLOOKUP('Beleg 2'!$A8,Datenerfassung!$S$14:$W$17,4,FALSE)</f>
        <v>#N/A</v>
      </c>
      <c r="D8" s="27" t="e">
        <f>VLOOKUP('Beleg 2'!$A8,Datenerfassung!$S$14:$W$17,5,FALSE)</f>
        <v>#N/A</v>
      </c>
      <c r="E8" s="16"/>
      <c r="F8" s="16"/>
      <c r="G8" s="19" t="str">
        <f t="shared" si="1"/>
        <v/>
      </c>
      <c r="H8" s="15" t="str">
        <f t="shared" si="0"/>
        <v/>
      </c>
      <c r="I8" s="17" t="str">
        <f t="shared" si="2"/>
        <v/>
      </c>
    </row>
    <row r="9" spans="1:9" s="5" customFormat="1" ht="22.5" customHeight="1" x14ac:dyDescent="0.25">
      <c r="A9" s="26">
        <v>4</v>
      </c>
      <c r="B9" s="27" t="e">
        <f>VLOOKUP('Beleg 2'!$A9,Datenerfassung!$S$14:$W$17,3,FALSE)</f>
        <v>#N/A</v>
      </c>
      <c r="C9" s="27" t="e">
        <f>VLOOKUP('Beleg 2'!$A9,Datenerfassung!$S$14:$W$17,4,FALSE)</f>
        <v>#N/A</v>
      </c>
      <c r="D9" s="27" t="e">
        <f>VLOOKUP('Beleg 2'!$A9,Datenerfassung!$S$14:$W$17,5,FALSE)</f>
        <v>#N/A</v>
      </c>
      <c r="E9" s="16"/>
      <c r="F9" s="16"/>
      <c r="G9" s="19" t="str">
        <f t="shared" si="1"/>
        <v/>
      </c>
      <c r="H9" s="15" t="str">
        <f t="shared" si="0"/>
        <v/>
      </c>
      <c r="I9" s="17" t="str">
        <f t="shared" si="2"/>
        <v/>
      </c>
    </row>
    <row r="10" spans="1:9" ht="67.5" customHeight="1" x14ac:dyDescent="0.25"/>
    <row r="11" spans="1:9" x14ac:dyDescent="0.25">
      <c r="E11" s="18">
        <f>Datenerfassung!F12</f>
        <v>0</v>
      </c>
      <c r="F11" s="12">
        <f>Datenerfassung!B2</f>
        <v>0</v>
      </c>
    </row>
  </sheetData>
  <sheetProtection algorithmName="SHA-512" hashValue="5gOL2I2LJiizJFW85BM0gwmZ4BnH5aY0M6RA9VUzxcg7DIIhjspHxmEDx784LKlNECiFPdRsSGnveMnh1pEglQ==" saltValue="KJ5k6H4wflNGtDnsgZETZA==" spinCount="100000" sheet="1" objects="1" scenarios="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topLeftCell="E1" workbookViewId="0">
      <selection activeCell="E14" sqref="E14"/>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CONCATENATE("+",MOD(Datenerfassung!A2,10000000),"+")</f>
        <v>+0+</v>
      </c>
    </row>
    <row r="2" spans="1:9" ht="12" customHeight="1" x14ac:dyDescent="0.25"/>
    <row r="3" spans="1:9" x14ac:dyDescent="0.25">
      <c r="G3" s="21">
        <v>0</v>
      </c>
      <c r="H3" s="55">
        <f>SUM(I6:I9)/100</f>
        <v>0</v>
      </c>
      <c r="I3" s="55"/>
    </row>
    <row r="4" spans="1:9" ht="10.5" customHeight="1" x14ac:dyDescent="0.25">
      <c r="I4" s="14"/>
    </row>
    <row r="5" spans="1:9" hidden="1" x14ac:dyDescent="0.25">
      <c r="A5" s="25" t="s">
        <v>16</v>
      </c>
      <c r="B5" s="25" t="s">
        <v>0</v>
      </c>
      <c r="C5" s="25" t="s">
        <v>1</v>
      </c>
      <c r="D5" s="25" t="s">
        <v>17</v>
      </c>
      <c r="G5" s="12" t="s">
        <v>0</v>
      </c>
      <c r="H5" s="12" t="s">
        <v>1</v>
      </c>
      <c r="I5" s="12" t="s">
        <v>17</v>
      </c>
    </row>
    <row r="6" spans="1:9" s="5" customFormat="1" ht="22.5" customHeight="1" x14ac:dyDescent="0.25">
      <c r="A6" s="26">
        <v>1</v>
      </c>
      <c r="B6" s="27" t="e">
        <f>VLOOKUP('Beleg 3'!$A6,Datenerfassung!$S$22:$W$25,3,FALSE)</f>
        <v>#N/A</v>
      </c>
      <c r="C6" s="27" t="e">
        <f>VLOOKUP('Beleg 3'!$A6,Datenerfassung!$S$22:$W$25,4,FALSE)</f>
        <v>#N/A</v>
      </c>
      <c r="D6" s="27" t="e">
        <f>VLOOKUP('Beleg 3'!$A6,Datenerfassung!$S$22:$W$25,5,FALSE)</f>
        <v>#N/A</v>
      </c>
      <c r="E6" s="16"/>
      <c r="F6" s="16"/>
      <c r="G6" s="19" t="str">
        <f>IF(ISNA(B6),"",B6)</f>
        <v/>
      </c>
      <c r="H6" s="15" t="str">
        <f t="shared" ref="H6:H9" si="0">IF(ISNA(C6),"",C6)</f>
        <v/>
      </c>
      <c r="I6" s="17" t="str">
        <f>IF(ISNA(D6),"",D6*100)</f>
        <v/>
      </c>
    </row>
    <row r="7" spans="1:9" s="5" customFormat="1" ht="22.5" customHeight="1" x14ac:dyDescent="0.25">
      <c r="A7" s="26">
        <v>2</v>
      </c>
      <c r="B7" s="27" t="e">
        <f>VLOOKUP('Beleg 3'!$A7,Datenerfassung!$S$22:$W$25,3,FALSE)</f>
        <v>#N/A</v>
      </c>
      <c r="C7" s="27" t="e">
        <f>VLOOKUP('Beleg 3'!$A7,Datenerfassung!$S$22:$W$25,4,FALSE)</f>
        <v>#N/A</v>
      </c>
      <c r="D7" s="27" t="e">
        <f>VLOOKUP('Beleg 3'!$A7,Datenerfassung!$S$22:$W$25,5,FALSE)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3'!$A8,Datenerfassung!$S$22:$W$25,3,FALSE)</f>
        <v>#N/A</v>
      </c>
      <c r="C8" s="27" t="e">
        <f>VLOOKUP('Beleg 3'!$A8,Datenerfassung!$S$22:$W$25,4,FALSE)</f>
        <v>#N/A</v>
      </c>
      <c r="D8" s="27" t="e">
        <f>VLOOKUP('Beleg 3'!$A8,Datenerfassung!$S$22:$W$25,5,FALSE)</f>
        <v>#N/A</v>
      </c>
      <c r="E8" s="16"/>
      <c r="F8" s="16"/>
      <c r="G8" s="19" t="str">
        <f t="shared" si="1"/>
        <v/>
      </c>
      <c r="H8" s="15" t="str">
        <f t="shared" si="0"/>
        <v/>
      </c>
      <c r="I8" s="17" t="str">
        <f t="shared" si="2"/>
        <v/>
      </c>
    </row>
    <row r="9" spans="1:9" s="5" customFormat="1" ht="22.5" customHeight="1" x14ac:dyDescent="0.25">
      <c r="A9" s="26">
        <v>4</v>
      </c>
      <c r="B9" s="27" t="e">
        <f>VLOOKUP('Beleg 3'!$A9,Datenerfassung!$S$22:$W$25,3,FALSE)</f>
        <v>#N/A</v>
      </c>
      <c r="C9" s="27" t="e">
        <f>VLOOKUP('Beleg 3'!$A9,Datenerfassung!$S$22:$W$25,4,FALSE)</f>
        <v>#N/A</v>
      </c>
      <c r="D9" s="27" t="e">
        <f>VLOOKUP('Beleg 3'!$A9,Datenerfassung!$S$22:$W$25,5,FALSE)</f>
        <v>#N/A</v>
      </c>
      <c r="E9" s="16"/>
      <c r="F9" s="16"/>
      <c r="G9" s="19" t="str">
        <f t="shared" si="1"/>
        <v/>
      </c>
      <c r="H9" s="15" t="str">
        <f t="shared" si="0"/>
        <v/>
      </c>
      <c r="I9" s="17" t="str">
        <f t="shared" si="2"/>
        <v/>
      </c>
    </row>
    <row r="10" spans="1:9" ht="67.5" customHeight="1" x14ac:dyDescent="0.25"/>
    <row r="11" spans="1:9" x14ac:dyDescent="0.25">
      <c r="E11" s="18">
        <f>Datenerfassung!F20</f>
        <v>0</v>
      </c>
      <c r="F11" s="12">
        <f>Datenerfassung!B2</f>
        <v>0</v>
      </c>
    </row>
  </sheetData>
  <sheetProtection algorithmName="SHA-512" hashValue="kGmBHrOfOUj2utpLJtrKpTI4PxtTeNijYjvdVwTCBSyL9OaLaPuyeJ8eWCO4yku/8E5/j4/fNwbfUXEIdepD1g==" saltValue="cwOEcT7eVIP0xI1LW3yALg==" spinCount="100000" sheet="1" objects="1" scenarios="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
  <sheetViews>
    <sheetView topLeftCell="E1" workbookViewId="0">
      <selection activeCell="E13" sqref="E13"/>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CONCATENATE("+",MOD(Datenerfassung!A2,10000000),"+")</f>
        <v>+0+</v>
      </c>
    </row>
    <row r="2" spans="1:9" ht="12" customHeight="1" x14ac:dyDescent="0.25"/>
    <row r="3" spans="1:9" x14ac:dyDescent="0.25">
      <c r="G3" s="21">
        <v>0</v>
      </c>
      <c r="H3" s="55">
        <f>SUM(I6:I9)/100</f>
        <v>0</v>
      </c>
      <c r="I3" s="55"/>
    </row>
    <row r="4" spans="1:9" ht="10.5" customHeight="1" x14ac:dyDescent="0.25">
      <c r="I4" s="14"/>
    </row>
    <row r="5" spans="1:9" hidden="1" x14ac:dyDescent="0.25">
      <c r="A5" s="25" t="s">
        <v>16</v>
      </c>
      <c r="B5" s="25" t="s">
        <v>0</v>
      </c>
      <c r="C5" s="25" t="s">
        <v>1</v>
      </c>
      <c r="D5" s="25" t="s">
        <v>17</v>
      </c>
      <c r="G5" s="12" t="s">
        <v>0</v>
      </c>
      <c r="H5" s="12" t="s">
        <v>1</v>
      </c>
      <c r="I5" s="12" t="s">
        <v>17</v>
      </c>
    </row>
    <row r="6" spans="1:9" s="5" customFormat="1" ht="22.5" customHeight="1" x14ac:dyDescent="0.25">
      <c r="A6" s="26">
        <v>1</v>
      </c>
      <c r="B6" s="27" t="e">
        <f>VLOOKUP('Beleg 4'!$A6,Datenerfassung!$S$29:$W$33,3,FALSE)</f>
        <v>#N/A</v>
      </c>
      <c r="C6" s="27" t="e">
        <f>VLOOKUP('Beleg 4'!$A6,Datenerfassung!$S$29:$W$33,4,FALSE)</f>
        <v>#N/A</v>
      </c>
      <c r="D6" s="27" t="e">
        <f>VLOOKUP('Beleg 4'!$A6,Datenerfassung!$S$29:$W$33,5,FALSE)</f>
        <v>#N/A</v>
      </c>
      <c r="E6" s="16"/>
      <c r="F6" s="16"/>
      <c r="G6" s="19" t="str">
        <f>IF(ISNA(B6),"",B6)</f>
        <v/>
      </c>
      <c r="H6" s="15" t="str">
        <f t="shared" ref="H6:H9" si="0">IF(ISNA(C6),"",C6)</f>
        <v/>
      </c>
      <c r="I6" s="17" t="str">
        <f>IF(ISNA(D6),"",D6*100)</f>
        <v/>
      </c>
    </row>
    <row r="7" spans="1:9" s="5" customFormat="1" ht="22.5" customHeight="1" x14ac:dyDescent="0.25">
      <c r="A7" s="26">
        <v>2</v>
      </c>
      <c r="B7" s="27" t="e">
        <f>VLOOKUP('Beleg 4'!$A7,Datenerfassung!$S$29:$W$33,3,FALSE)</f>
        <v>#N/A</v>
      </c>
      <c r="C7" s="27" t="e">
        <f>VLOOKUP('Beleg 4'!$A7,Datenerfassung!$S$29:$W$33,4,FALSE)</f>
        <v>#N/A</v>
      </c>
      <c r="D7" s="27" t="e">
        <f>VLOOKUP('Beleg 4'!$A7,Datenerfassung!$S$29:$W$33,5,FALSE)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4'!$A8,Datenerfassung!$S$29:$W$33,3,FALSE)</f>
        <v>#N/A</v>
      </c>
      <c r="C8" s="27" t="e">
        <f>VLOOKUP('Beleg 4'!$A8,Datenerfassung!$S$29:$W$33,4,FALSE)</f>
        <v>#N/A</v>
      </c>
      <c r="D8" s="27" t="e">
        <f>VLOOKUP('Beleg 4'!$A8,Datenerfassung!$S$29:$W$33,5,FALSE)</f>
        <v>#N/A</v>
      </c>
      <c r="E8" s="16"/>
      <c r="F8" s="16"/>
      <c r="G8" s="19" t="str">
        <f t="shared" si="1"/>
        <v/>
      </c>
      <c r="H8" s="15" t="str">
        <f t="shared" si="0"/>
        <v/>
      </c>
      <c r="I8" s="17" t="str">
        <f t="shared" si="2"/>
        <v/>
      </c>
    </row>
    <row r="9" spans="1:9" s="5" customFormat="1" ht="22.5" customHeight="1" x14ac:dyDescent="0.25">
      <c r="A9" s="26">
        <v>4</v>
      </c>
      <c r="B9" s="27" t="e">
        <f>VLOOKUP('Beleg 4'!$A9,Datenerfassung!$S$29:$W$33,3,FALSE)</f>
        <v>#N/A</v>
      </c>
      <c r="C9" s="27" t="e">
        <f>VLOOKUP('Beleg 4'!$A9,Datenerfassung!$S$29:$W$33,4,FALSE)</f>
        <v>#N/A</v>
      </c>
      <c r="D9" s="27" t="e">
        <f>VLOOKUP('Beleg 4'!$A9,Datenerfassung!$S$29:$W$33,5,FALSE)</f>
        <v>#N/A</v>
      </c>
      <c r="E9" s="16"/>
      <c r="F9" s="16"/>
      <c r="G9" s="19" t="str">
        <f t="shared" si="1"/>
        <v/>
      </c>
      <c r="H9" s="15" t="str">
        <f t="shared" si="0"/>
        <v/>
      </c>
      <c r="I9" s="17" t="str">
        <f t="shared" si="2"/>
        <v/>
      </c>
    </row>
    <row r="10" spans="1:9" ht="67.5" customHeight="1" x14ac:dyDescent="0.25"/>
    <row r="11" spans="1:9" x14ac:dyDescent="0.25">
      <c r="E11" s="18">
        <f>Datenerfassung!F28</f>
        <v>0</v>
      </c>
      <c r="F11" s="12">
        <f>Datenerfassung!B2</f>
        <v>0</v>
      </c>
    </row>
  </sheetData>
  <sheetProtection algorithmName="SHA-512" hashValue="mMoB3ukIcmNq40C1dmtyf9FADRrXvIbU/uCf6wUNZ8o3g91XPPDbAbTOI57fY45U3HSA11vwYTQ0TpkMu3fuRw==" saltValue="+PYs7mwrHvVUWF497APbdg==" spinCount="100000" sheet="1" objects="1" scenarios="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
  <sheetViews>
    <sheetView topLeftCell="E1" workbookViewId="0">
      <selection activeCell="E13" sqref="E13"/>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CONCATENATE("+",MOD(Datenerfassung!A2,10000000),"+")</f>
        <v>+0+</v>
      </c>
    </row>
    <row r="2" spans="1:9" ht="12" customHeight="1" x14ac:dyDescent="0.25"/>
    <row r="3" spans="1:9" x14ac:dyDescent="0.25">
      <c r="G3" s="21">
        <v>0</v>
      </c>
      <c r="H3" s="55">
        <f>SUM(I6:I9)/100</f>
        <v>0</v>
      </c>
      <c r="I3" s="55"/>
    </row>
    <row r="4" spans="1:9" ht="10.5" customHeight="1" x14ac:dyDescent="0.25">
      <c r="I4" s="14"/>
    </row>
    <row r="5" spans="1:9" hidden="1" x14ac:dyDescent="0.25">
      <c r="A5" s="25" t="s">
        <v>16</v>
      </c>
      <c r="B5" s="25" t="s">
        <v>0</v>
      </c>
      <c r="C5" s="25" t="s">
        <v>1</v>
      </c>
      <c r="D5" s="25" t="s">
        <v>17</v>
      </c>
      <c r="G5" s="12" t="s">
        <v>0</v>
      </c>
      <c r="H5" s="12" t="s">
        <v>1</v>
      </c>
      <c r="I5" s="12" t="s">
        <v>17</v>
      </c>
    </row>
    <row r="6" spans="1:9" s="5" customFormat="1" ht="22.5" customHeight="1" x14ac:dyDescent="0.25">
      <c r="A6" s="26">
        <v>1</v>
      </c>
      <c r="B6" s="27" t="e">
        <f>VLOOKUP('Beleg 5'!$A6,Datenerfassung!$S$38:$W$41,3,FALSE)</f>
        <v>#N/A</v>
      </c>
      <c r="C6" s="27" t="e">
        <f>VLOOKUP('Beleg 5'!$A6,Datenerfassung!$S$38:$W$41,4,FALSE)</f>
        <v>#N/A</v>
      </c>
      <c r="D6" s="27" t="e">
        <f>VLOOKUP('Beleg 5'!$A6,Datenerfassung!$S$38:$W$41,5,FALSE)</f>
        <v>#N/A</v>
      </c>
      <c r="E6" s="16"/>
      <c r="F6" s="16"/>
      <c r="G6" s="19" t="str">
        <f>IF(ISNA(B6),"",B6)</f>
        <v/>
      </c>
      <c r="H6" s="15" t="str">
        <f t="shared" ref="H6:H9" si="0">IF(ISNA(C6),"",C6)</f>
        <v/>
      </c>
      <c r="I6" s="17" t="str">
        <f>IF(ISNA(D6),"",D6*100)</f>
        <v/>
      </c>
    </row>
    <row r="7" spans="1:9" s="5" customFormat="1" ht="22.5" customHeight="1" x14ac:dyDescent="0.25">
      <c r="A7" s="26">
        <v>2</v>
      </c>
      <c r="B7" s="27" t="e">
        <f>VLOOKUP('Beleg 5'!$A7,Datenerfassung!$S$38:$W$41,3,FALSE)</f>
        <v>#N/A</v>
      </c>
      <c r="C7" s="27" t="e">
        <f>VLOOKUP('Beleg 5'!$A7,Datenerfassung!$S$38:$W$41,4,FALSE)</f>
        <v>#N/A</v>
      </c>
      <c r="D7" s="27" t="e">
        <f>VLOOKUP('Beleg 5'!$A7,Datenerfassung!$S$38:$W$41,5,FALSE)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5'!$A8,Datenerfassung!$S$38:$W$41,3,FALSE)</f>
        <v>#N/A</v>
      </c>
      <c r="C8" s="27" t="e">
        <f>VLOOKUP('Beleg 5'!$A8,Datenerfassung!$S$38:$W$41,4,FALSE)</f>
        <v>#N/A</v>
      </c>
      <c r="D8" s="27" t="e">
        <f>VLOOKUP('Beleg 5'!$A8,Datenerfassung!$S$38:$W$41,5,FALSE)</f>
        <v>#N/A</v>
      </c>
      <c r="E8" s="16"/>
      <c r="F8" s="16"/>
      <c r="G8" s="19" t="str">
        <f t="shared" si="1"/>
        <v/>
      </c>
      <c r="H8" s="15" t="str">
        <f t="shared" si="0"/>
        <v/>
      </c>
      <c r="I8" s="17" t="str">
        <f t="shared" si="2"/>
        <v/>
      </c>
    </row>
    <row r="9" spans="1:9" s="5" customFormat="1" ht="22.5" customHeight="1" x14ac:dyDescent="0.25">
      <c r="A9" s="26">
        <v>4</v>
      </c>
      <c r="B9" s="27" t="e">
        <f>VLOOKUP('Beleg 5'!$A9,Datenerfassung!$S$38:$W$41,3,FALSE)</f>
        <v>#N/A</v>
      </c>
      <c r="C9" s="27" t="e">
        <f>VLOOKUP('Beleg 5'!$A9,Datenerfassung!$S$38:$W$41,4,FALSE)</f>
        <v>#N/A</v>
      </c>
      <c r="D9" s="27" t="e">
        <f>VLOOKUP('Beleg 5'!$A9,Datenerfassung!$S$38:$W$41,5,FALSE)</f>
        <v>#N/A</v>
      </c>
      <c r="E9" s="16"/>
      <c r="F9" s="16"/>
      <c r="G9" s="19" t="str">
        <f t="shared" si="1"/>
        <v/>
      </c>
      <c r="H9" s="15" t="str">
        <f t="shared" si="0"/>
        <v/>
      </c>
      <c r="I9" s="17" t="str">
        <f t="shared" si="2"/>
        <v/>
      </c>
    </row>
    <row r="10" spans="1:9" ht="67.5" customHeight="1" x14ac:dyDescent="0.25"/>
    <row r="11" spans="1:9" x14ac:dyDescent="0.25">
      <c r="E11" s="18">
        <f>Datenerfassung!F36</f>
        <v>0</v>
      </c>
      <c r="F11" s="12">
        <f>Datenerfassung!B2</f>
        <v>0</v>
      </c>
    </row>
  </sheetData>
  <sheetProtection algorithmName="SHA-512" hashValue="aaTCwjhrPiY5VJ/BUVIAuovJUf/JlbYIenyTUDQjzgaZPt0G9VeP+I3y2UmOGPGhW+xlmiruEg8CJ3jyS6YIlg==" saltValue="92upmjFlliFmizDK69vVhQ==" spinCount="100000" sheet="1" objects="1" scenarios="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ANLEITUNG</vt:lpstr>
      <vt:lpstr>Datenerfassung</vt:lpstr>
      <vt:lpstr>Beleg 1</vt:lpstr>
      <vt:lpstr>Beleg 2</vt:lpstr>
      <vt:lpstr>Beleg 3</vt:lpstr>
      <vt:lpstr>Beleg 4</vt:lpstr>
      <vt:lpstr>Beleg 5</vt:lpstr>
      <vt:lpstr>'Beleg 1'!Druckbereich</vt:lpstr>
      <vt:lpstr>'Beleg 2'!Druckbereich</vt:lpstr>
      <vt:lpstr>'Beleg 3'!Druckbereich</vt:lpstr>
      <vt:lpstr>'Beleg 4'!Druckbereich</vt:lpstr>
      <vt:lpstr>'Beleg 5'!Druckbereich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Kallbach, Kai</dc:creator>
  <cp:lastModifiedBy>Sandra Schröder</cp:lastModifiedBy>
  <cp:lastPrinted>2021-07-15T13:48:56Z</cp:lastPrinted>
  <dcterms:created xsi:type="dcterms:W3CDTF">2021-05-27T15:53:30Z</dcterms:created>
  <dcterms:modified xsi:type="dcterms:W3CDTF">2021-10-11T10:08:37Z</dcterms:modified>
</cp:coreProperties>
</file>